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Premissas" sheetId="2" state="visible" r:id="rId2"/>
    <sheet name="Cronograma Obra" sheetId="3" state="visible" r:id="rId3"/>
    <sheet name="Custo de Obra" sheetId="4" state="visible" r:id="rId4"/>
    <sheet name="Fluxo Mensal" sheetId="5" state="visible" r:id="rId5"/>
    <sheet name="Financiamento" sheetId="6" state="visible" r:id="rId6"/>
    <sheet name="Funding" sheetId="7" state="visible" r:id="rId7"/>
    <sheet name="Repasse Comprador" sheetId="8" state="visible" r:id="rId8"/>
    <sheet name="Sensibilidade" sheetId="9" state="visible" r:id="rId9"/>
    <sheet name="Cotações" sheetId="10" state="visible" r:id="rId10"/>
    <sheet name="Confronto REV00" sheetId="11" state="visible" r:id="rId11"/>
    <sheet name="Fonte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&quot;R$&quot; #,##0;(&quot;R$&quot; #,##0);-"/>
    <numFmt numFmtId="166" formatCode="0.0%"/>
    <numFmt numFmtId="167" formatCode="0.0000"/>
    <numFmt numFmtId="168" formatCode="0.0000%"/>
  </numFmts>
  <fonts count="7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color rgb="00666666"/>
      <sz val="9"/>
    </font>
    <font>
      <name val="Arial"/>
      <b val="1"/>
    </font>
    <font>
      <name val="Arial"/>
    </font>
    <font>
      <name val="Arial"/>
      <color rgb="000000FF"/>
    </font>
    <font>
      <name val="Arial"/>
      <color rgb="00008000"/>
    </font>
  </fonts>
  <fills count="7">
    <fill>
      <patternFill/>
    </fill>
    <fill>
      <patternFill patternType="gray125"/>
    </fill>
    <fill>
      <patternFill patternType="solid">
        <fgColor rgb="00F0E9D8"/>
      </patternFill>
    </fill>
    <fill>
      <patternFill patternType="solid">
        <fgColor rgb="00FFFF00"/>
      </patternFill>
    </fill>
    <fill>
      <patternFill patternType="solid">
        <fgColor rgb="00F2F2F2"/>
      </patternFill>
    </fill>
    <fill>
      <patternFill patternType="solid">
        <fgColor rgb="00E3F4E3"/>
      </patternFill>
    </fill>
    <fill>
      <patternFill patternType="solid">
        <fgColor rgb="00FDE2E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4" borderId="1" applyAlignment="1" pivotButton="0" quotePrefix="0" xfId="0">
      <alignment vertical="center" wrapText="1"/>
    </xf>
    <xf numFmtId="0" fontId="3" fillId="0" borderId="0" pivotButton="0" quotePrefix="0" xfId="0"/>
    <xf numFmtId="165" fontId="6" fillId="0" borderId="0" pivotButton="0" quotePrefix="0" xfId="0"/>
    <xf numFmtId="165" fontId="0" fillId="0" borderId="0" pivotButton="0" quotePrefix="0" xfId="0"/>
    <xf numFmtId="49" fontId="6" fillId="0" borderId="0" pivotButton="0" quotePrefix="0" xfId="0"/>
    <xf numFmtId="49" fontId="0" fillId="0" borderId="0" pivotButton="0" quotePrefix="0" xfId="0"/>
    <xf numFmtId="166" fontId="6" fillId="0" borderId="0" pivotButton="0" quotePrefix="0" xfId="0"/>
    <xf numFmtId="166" fontId="0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10" fontId="5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5" fontId="5" fillId="3" borderId="0" pivotButton="0" quotePrefix="0" xfId="0"/>
    <xf numFmtId="165" fontId="5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3" fontId="5" fillId="0" borderId="0" pivotButton="0" quotePrefix="0" xfId="0"/>
    <xf numFmtId="4" fontId="5" fillId="0" borderId="0" pivotButton="0" quotePrefix="0" xfId="0"/>
    <xf numFmtId="166" fontId="5" fillId="0" borderId="0" pivotButton="0" quotePrefix="0" xfId="0"/>
    <xf numFmtId="165" fontId="4" fillId="3" borderId="0" pivotButton="0" quotePrefix="0" xfId="0"/>
    <xf numFmtId="166" fontId="4" fillId="0" borderId="0" pivotButton="0" quotePrefix="0" xfId="0"/>
    <xf numFmtId="10" fontId="5" fillId="3" borderId="0" pivotButton="0" quotePrefix="0" xfId="0"/>
    <xf numFmtId="166" fontId="3" fillId="0" borderId="0" pivotButton="0" quotePrefix="0" xfId="0"/>
    <xf numFmtId="10" fontId="4" fillId="0" borderId="0" pivotButton="0" quotePrefix="0" xfId="0"/>
    <xf numFmtId="0" fontId="0" fillId="2" borderId="0" pivotButton="0" quotePrefix="0" xfId="0"/>
    <xf numFmtId="0" fontId="0" fillId="2" borderId="0" applyAlignment="1" pivotButton="0" quotePrefix="0" xfId="0">
      <alignment vertical="top" wrapText="1"/>
    </xf>
    <xf numFmtId="0" fontId="5" fillId="2" borderId="0" pivotButton="0" quotePrefix="0" xfId="0"/>
    <xf numFmtId="10" fontId="0" fillId="0" borderId="0" pivotButton="0" quotePrefix="0" xfId="0"/>
    <xf numFmtId="165" fontId="3" fillId="0" borderId="0" pivotButton="0" quotePrefix="0" xfId="0"/>
    <xf numFmtId="3" fontId="0" fillId="0" borderId="0" pivotButton="0" quotePrefix="0" xfId="0"/>
    <xf numFmtId="3" fontId="3" fillId="0" borderId="0" pivotButton="0" quotePrefix="0" xfId="0"/>
    <xf numFmtId="4" fontId="5" fillId="3" borderId="0" pivotButton="0" quotePrefix="0" xfId="0"/>
    <xf numFmtId="165" fontId="0" fillId="3" borderId="0" pivotButton="0" quotePrefix="0" xfId="0"/>
    <xf numFmtId="166" fontId="0" fillId="5" borderId="0" pivotButton="0" quotePrefix="0" xfId="0"/>
    <xf numFmtId="166" fontId="0" fillId="6" borderId="0" pivotButton="0" quotePrefix="0" xfId="0"/>
    <xf numFmtId="167" fontId="0" fillId="0" borderId="0" pivotButton="0" quotePrefix="0" xfId="0"/>
    <xf numFmtId="10" fontId="3" fillId="0" borderId="0" pivotButton="0" quotePrefix="0" xfId="0"/>
    <xf numFmtId="0" fontId="4" fillId="4" borderId="0" pivotButton="0" quotePrefix="0" xfId="0"/>
    <xf numFmtId="165" fontId="0" fillId="4" borderId="0" pivotButton="0" quotePrefix="0" xfId="0"/>
    <xf numFmtId="166" fontId="0" fillId="4" borderId="0" pivotButton="0" quotePrefix="0" xfId="0"/>
    <xf numFmtId="0" fontId="0" fillId="4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0" fillId="5" borderId="0" applyAlignment="1" pivotButton="0" quotePrefix="0" xfId="0">
      <alignment vertical="top" wrapText="1"/>
    </xf>
    <xf numFmtId="0" fontId="0" fillId="6" borderId="0" applyAlignment="1" pivotButton="0" quotePrefix="0" xfId="0">
      <alignment vertical="top" wrapText="1"/>
    </xf>
    <xf numFmtId="168" fontId="0" fillId="0" borderId="0" pivotButton="0" quotePrefix="0" xfId="0"/>
    <xf numFmtId="165" fontId="5" fillId="4" borderId="0" pivotButton="0" quotePrefix="0" xfId="0"/>
    <xf numFmtId="166" fontId="0" fillId="0" borderId="1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22" customWidth="1" min="3" max="3"/>
    <col width="70" customWidth="1" min="4" max="4"/>
  </cols>
  <sheetData>
    <row r="1">
      <c r="A1" s="1" t="inlineStr">
        <is>
          <t>TORRE ALTEZZA — VIABILIDADE COMPLETA (produto 108/160 · pódio · 100 m · 98 unidades · custo e prazo do REV00)</t>
        </is>
      </c>
    </row>
    <row r="2">
      <c r="A2" s="2" t="inlineStr">
        <is>
          <t>Gerado por viabilidade_completa_xlsx_build.py em 08/09/2026. Verde = fórmula ligada às outras abas · valores 'medidos' = modelo Python (pilhas). Base = pilha E-R (obra 58,96 M · 36+20 m · permuta 11 %); coluna C = a mesma pilha com a obra na META de 48 M.</t>
        </is>
      </c>
    </row>
    <row r="4">
      <c r="A4" s="3" t="inlineStr">
        <is>
          <t>Indicador</t>
        </is>
      </c>
      <c r="B4" s="3" t="inlineStr">
        <is>
          <t>Planilha (pilha E-R ao vivo · obra REV00)</t>
        </is>
      </c>
      <c r="C4" s="3" t="inlineStr">
        <is>
          <t>Obra na META 48 M (E-R48, medido)</t>
        </is>
      </c>
      <c r="D4" s="3" t="inlineStr">
        <is>
          <t>Leitura</t>
        </is>
      </c>
    </row>
    <row r="5">
      <c r="A5" s="4" t="inlineStr">
        <is>
          <t>VGV</t>
        </is>
      </c>
      <c r="B5" s="5">
        <f>Premissas!$B$10</f>
        <v/>
      </c>
      <c r="C5" s="6" t="n">
        <v>118720000</v>
      </c>
      <c r="D5" s="2" t="inlineStr">
        <is>
          <t>84 core × R$ 1,08 M + 14 Sky × R$ 2,0 M (REV00: 108 × 100 m² = 110,3 M)</t>
        </is>
      </c>
    </row>
    <row r="6">
      <c r="A6" s="4" t="inlineStr">
        <is>
          <t>R$/m² médio de venda</t>
        </is>
      </c>
      <c r="B6" s="5">
        <f>Premissas!$B$12</f>
        <v/>
      </c>
      <c r="C6" s="6" t="n">
        <v>10495.0495049505</v>
      </c>
      <c r="D6" s="2" t="inlineStr">
        <is>
          <t>REV00 10.200 · Sinduscon 1T26 padrão médio 9.813</t>
        </is>
      </c>
    </row>
    <row r="7">
      <c r="A7" s="4" t="inlineStr">
        <is>
          <t>Custo de obra (CD+CI+adm)</t>
        </is>
      </c>
      <c r="B7" s="5">
        <f>Premissas!$B$21</f>
        <v/>
      </c>
      <c r="C7" s="6" t="n">
        <v>48000000</v>
      </c>
      <c r="D7" s="2" t="inlineStr">
        <is>
          <t>REV00 58,96 M = 2.748/m² real · meta por ambiente 48 M = 2.237 — ver aba Custo de Obra</t>
        </is>
      </c>
    </row>
    <row r="8">
      <c r="A8" s="4" t="inlineStr">
        <is>
          <t>Prazo de obra + recebimento</t>
        </is>
      </c>
      <c r="B8" s="7">
        <f>Premissas!$B$16&amp;" + "&amp;Premissas!$B$17</f>
        <v/>
      </c>
      <c r="C8" s="8" t="inlineStr">
        <is>
          <t>36 + 20</t>
        </is>
      </c>
      <c r="D8" s="2" t="inlineStr">
        <is>
          <t>meses (REV00); engª §6 dizia 28–30 de obra</t>
        </is>
      </c>
    </row>
    <row r="9">
      <c r="A9" s="4" t="inlineStr">
        <is>
          <t>Resultado</t>
        </is>
      </c>
      <c r="B9" s="5">
        <f>'Fluxo Mensal'!$B$61</f>
        <v/>
      </c>
      <c r="C9" s="6" t="n">
        <v>36937637.67682451</v>
      </c>
      <c r="D9" s="2" t="inlineStr">
        <is>
          <t>REV00 (108 × 100 m²): 14,9 M</t>
        </is>
      </c>
    </row>
    <row r="10">
      <c r="A10" s="4" t="inlineStr">
        <is>
          <t>Margem s/ VGV</t>
        </is>
      </c>
      <c r="B10" s="9">
        <f>'Fluxo Mensal'!$B$62</f>
        <v/>
      </c>
      <c r="C10" s="10" t="n">
        <v>0.3111323928303951</v>
      </c>
      <c r="D10" s="2" t="inlineStr">
        <is>
          <t>piso de disciplina 20 % — a base está EM CIMA dele</t>
        </is>
      </c>
    </row>
    <row r="11">
      <c r="A11" s="4" t="inlineStr">
        <is>
          <t>TIR a.a.</t>
        </is>
      </c>
      <c r="B11" s="9">
        <f>'Fluxo Mensal'!$B$67</f>
        <v/>
      </c>
      <c r="C11" s="10" t="n">
        <v>0.6405135397122026</v>
      </c>
      <c r="D11" s="2" t="inlineStr">
        <is>
          <t>contra CDI 13,9 %; o REV00 reporta MIRR 10 % com TMA 5 %</t>
        </is>
      </c>
    </row>
    <row r="12">
      <c r="A12" s="4" t="inlineStr">
        <is>
          <t>Exposição máxima (caixa próprio)</t>
        </is>
      </c>
      <c r="B12" s="5">
        <f>'Fluxo Mensal'!$B$63</f>
        <v/>
      </c>
      <c r="C12" s="6" t="n">
        <v>12711115.69759864</v>
      </c>
      <c r="D12" s="2" t="inlineStr">
        <is>
          <t>é o número que dimensiona o sócio/banco</t>
        </is>
      </c>
    </row>
    <row r="13">
      <c r="A13" s="4" t="inlineStr">
        <is>
          <t>Juros do plano empresário</t>
        </is>
      </c>
      <c r="B13" s="5">
        <f>'Fluxo Mensal'!$B$68</f>
        <v/>
      </c>
      <c r="C13" s="6" t="n">
        <v>7542116.213031206</v>
      </c>
      <c r="D13" s="2" t="inlineStr">
        <is>
          <t>CDI 13,9 % + 3 em 36 meses — cotar SBPE</t>
        </is>
      </c>
    </row>
    <row r="14">
      <c r="A14" s="4" t="inlineStr">
        <is>
          <t>Permuta do terreno</t>
        </is>
      </c>
      <c r="B14" s="5">
        <f>Premissas!$B$10*Premissas!$B$26</f>
        <v/>
      </c>
      <c r="C14" s="6" t="n">
        <v>13059200</v>
      </c>
      <c r="D14" s="2" t="inlineStr">
        <is>
          <t>11 % do VGV, em receita (REV00)</t>
        </is>
      </c>
    </row>
    <row r="16">
      <c r="A16" s="11" t="inlineStr">
        <is>
          <t>AS TRÊS COISAS QUE DECIDEM O PROJETO</t>
        </is>
      </c>
    </row>
    <row r="17" ht="48" customHeight="1">
      <c r="A17" s="12" t="inlineStr">
        <is>
          <t>1 · CUSTO DE OBRA É O GATE — e agora ele está EM CIMA do piso. Com o custo do REV00 (R$ 59.0 M) a pilha E-R rende 20.4 %; o breakeven do piso de 20 % é R$ 59.4 M, a R$ 0.4 M de distância. A meta de 48 M do orçamento por ambiente vale R$ 12.7 M de resultado (31.1 %). Nenhum preço de lançamento se trava antes do orçamento executivo + cotação de fundações e elevadores.</t>
        </is>
      </c>
    </row>
    <row r="18" ht="48" customHeight="1">
      <c r="A18" s="12" t="inlineStr">
        <is>
          <t>2 · FINANCIAMENTO: banco a 50 % da obra troca R$ 9.3 M de juros (36 meses a CDI+3) por R$ 24 M a menos de caixa preso (41 → 16 M). Com tabela progressiva a 0,4 %/mês o resultado volta a R$ 24.3 M. Cotar SBPE (TR + 11–12 %) antes de aceitar CDI + 3: 5 pontos de juros em 36 meses ≈ R$ 2,7 M.</t>
        </is>
      </c>
    </row>
    <row r="19" ht="48" customHeight="1">
      <c r="A19" s="12" t="inlineStr">
        <is>
          <t>3 · FUNDING: permuta 11 % + plano empresário 50 % + pré-vendas cobrem tudo menos R$ 16 M de caixa próprio no pico (mês 19). Esse é o cheque do Leandro ou do sócio. CRI e FII não cabem nesta torre; cabem na quadra (6 torres). O teto do SFH a R$ 2,25 M (2026) põe core E Sky dentro do repasse com FGTS — o 60 % das chaves paga o banco.</t>
        </is>
      </c>
    </row>
    <row r="21">
      <c r="A21" s="4" t="inlineStr">
        <is>
          <t>O QUE ESTA PLANILHA NÃO MEDE (dito antes que alguém pergunte)</t>
        </is>
      </c>
    </row>
    <row r="22" ht="40" customHeight="1">
      <c r="A22" s="12" t="inlineStr">
        <is>
          <t>Distratos (Lei 13.786 mitiga, não zera) · atraso de obra além de 42 m · taxa de abertura do crédito · variação de TR · demanda real (VSO é premissa) · ITBI/ISS exatos do CTM de Uberlândia [VERIFICAR] · custo de decorado acima dos 3 % de marketing.</t>
        </is>
      </c>
    </row>
  </sheetData>
  <mergeCells count="4">
    <mergeCell ref="A22:D22"/>
    <mergeCell ref="A17:D17"/>
    <mergeCell ref="A18:D18"/>
    <mergeCell ref="A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2" customWidth="1" min="3" max="3"/>
    <col width="12" customWidth="1" min="4" max="4"/>
    <col width="70" customWidth="1" min="5" max="5"/>
  </cols>
  <sheetData>
    <row r="1">
      <c r="A1" s="1" t="inlineStr">
        <is>
          <t>TORRE ALTEZZA · PREMISSAS DO MODELO COMPLETO</t>
        </is>
      </c>
    </row>
    <row r="2">
      <c r="A2" s="2" t="inlineStr">
        <is>
          <t>Azul = edite aqui · Preto = fórmula · Amarelo = as três premissas que decidem o projeto. Fonte: viabilidade_completa_modelo.py (reproduz o modelo-base E o REV00 do Wesley no --autoteste). Custo, prazo e permuta vêm do REV00 (08/09/2026); produto e custo do dinheiro são nossos.</t>
        </is>
      </c>
      <c r="D2" s="4" t="inlineStr">
        <is>
          <t>Curva S</t>
        </is>
      </c>
    </row>
    <row r="3">
      <c r="A3" s="11" t="inlineStr">
        <is>
          <t>PRODUTO</t>
        </is>
      </c>
      <c r="D3" s="13" t="n">
        <v>0.03</v>
      </c>
    </row>
    <row r="4">
      <c r="A4" s="14" t="inlineStr">
        <is>
          <t>Unidades core (A/B)</t>
        </is>
      </c>
      <c r="B4" s="15" t="n">
        <v>84</v>
      </c>
      <c r="D4" s="13" t="n">
        <v>0.03</v>
      </c>
      <c r="E4" s="2" t="inlineStr">
        <is>
          <t>pav. 1–21, 4/andar (rodada 9)</t>
        </is>
      </c>
    </row>
    <row r="5">
      <c r="A5" s="14" t="inlineStr">
        <is>
          <t>Área privativa core (m²)</t>
        </is>
      </c>
      <c r="B5" s="16" t="n">
        <v>108</v>
      </c>
      <c r="D5" s="13" t="n">
        <v>0.03</v>
      </c>
      <c r="E5" s="2" t="inlineStr">
        <is>
          <t>planta A/B 13,0 × 8,3</t>
        </is>
      </c>
    </row>
    <row r="6">
      <c r="A6" s="14" t="inlineStr">
        <is>
          <t>Preço core (R$)</t>
        </is>
      </c>
      <c r="B6" s="17" t="n">
        <v>1080000</v>
      </c>
      <c r="D6" s="13" t="n">
        <v>0.03</v>
      </c>
      <c r="E6" s="2" t="inlineStr">
        <is>
          <t>R$ 10.000/m² — base preço-venda §4 · AMARELO</t>
        </is>
      </c>
    </row>
    <row r="7">
      <c r="A7" s="14" t="inlineStr">
        <is>
          <t>Unidades Sky</t>
        </is>
      </c>
      <c r="B7" s="15" t="n">
        <v>14</v>
      </c>
      <c r="D7" s="13" t="n">
        <v>0.035</v>
      </c>
      <c r="E7" s="2" t="inlineStr">
        <is>
          <t>pav. 22–28, 2/andar</t>
        </is>
      </c>
    </row>
    <row r="8">
      <c r="A8" s="14" t="inlineStr">
        <is>
          <t>Área privativa Sky (m²)</t>
        </is>
      </c>
      <c r="B8" s="16" t="n">
        <v>160</v>
      </c>
      <c r="D8" s="13" t="n">
        <v>0.035</v>
      </c>
      <c r="E8" s="2" t="inlineStr">
        <is>
          <t>planta Sky 11,2 × 14,3</t>
        </is>
      </c>
    </row>
    <row r="9">
      <c r="A9" s="14" t="inlineStr">
        <is>
          <t>Preço Sky (R$)</t>
        </is>
      </c>
      <c r="B9" s="18" t="n">
        <v>2000000</v>
      </c>
      <c r="D9" s="13" t="n">
        <v>0.035</v>
      </c>
      <c r="E9" s="2" t="inlineStr">
        <is>
          <t>R$ 12.500/m² (+25 % sobre o core: cobertura/vista)</t>
        </is>
      </c>
    </row>
    <row r="10">
      <c r="A10" s="4" t="inlineStr">
        <is>
          <t>VGV (R$)</t>
        </is>
      </c>
      <c r="B10" s="19">
        <f>Premissas!$B$6*Premissas!$B$4+Premissas!$B$9*Premissas!$B$7</f>
        <v/>
      </c>
      <c r="D10" s="13" t="n">
        <v>0.035</v>
      </c>
      <c r="E10" s="2" t="inlineStr">
        <is>
          <t>fórmula — 118,72 M</t>
        </is>
      </c>
    </row>
    <row r="11">
      <c r="A11" s="14" t="inlineStr">
        <is>
          <t>Área privativa total (m²)</t>
        </is>
      </c>
      <c r="B11" s="20">
        <f>Premissas!$B$4*Premissas!$B$5+Premissas!$B$7*Premissas!$B$8</f>
        <v/>
      </c>
      <c r="D11" s="13" t="n">
        <v>0.035</v>
      </c>
      <c r="E11" s="2" t="inlineStr">
        <is>
          <t>fórmula — 11.312</t>
        </is>
      </c>
    </row>
    <row r="12">
      <c r="A12" s="14" t="inlineStr">
        <is>
          <t>R$/m² médio de venda</t>
        </is>
      </c>
      <c r="B12" s="19">
        <f>Premissas!$B$10/Premissas!$B$11</f>
        <v/>
      </c>
      <c r="D12" s="13" t="n">
        <v>0.053182</v>
      </c>
      <c r="E12" s="2" t="inlineStr">
        <is>
          <t>fórmula</t>
        </is>
      </c>
    </row>
    <row r="13">
      <c r="A13" s="11" t="inlineStr">
        <is>
          <t>OBRA (estrutura de custo do REV00 — Wesley, 08/09/2026)</t>
        </is>
      </c>
      <c r="D13" s="13" t="n">
        <v>0.053182</v>
      </c>
    </row>
    <row r="14">
      <c r="A14" s="14" t="inlineStr">
        <is>
          <t>Área construída real (m²)</t>
        </is>
      </c>
      <c r="B14" s="21" t="n">
        <v>21456</v>
      </c>
      <c r="D14" s="13" t="n">
        <v>0.053182</v>
      </c>
      <c r="E14" s="2" t="inlineStr">
        <is>
          <t>9 ambientes do orçamento paramétrico (Orcamento-Altezza-ambientes.xlsx)</t>
        </is>
      </c>
    </row>
    <row r="15">
      <c r="A15" s="14" t="inlineStr">
        <is>
          <t>Área de construção do REV00 (m²)</t>
        </is>
      </c>
      <c r="B15" s="22" t="n">
        <v>17726.82</v>
      </c>
      <c r="D15" s="13" t="n">
        <v>0.018182</v>
      </c>
      <c r="E15" s="2" t="inlineStr">
        <is>
          <t>Desk Board REV00 — base do custo direto (não é a área real de 21.456; é a área que o Wesley orçou)</t>
        </is>
      </c>
    </row>
    <row r="16">
      <c r="A16" s="14" t="inlineStr">
        <is>
          <t>Meses de obra</t>
        </is>
      </c>
      <c r="B16" s="15" t="n">
        <v>36</v>
      </c>
      <c r="D16" s="13" t="n">
        <v>0.018182</v>
      </c>
      <c r="E16" s="2" t="inlineStr">
        <is>
          <t>REV00 = 36 (curva S de 8 etapas); a base engª §6 dizia 28–30 — outros prazos: aba Sensibilidade. Pesos da curva S abaixo são para 36</t>
        </is>
      </c>
    </row>
    <row r="17">
      <c r="A17" s="14" t="inlineStr">
        <is>
          <t>Cauda pós-entrega (meses)</t>
        </is>
      </c>
      <c r="B17" s="15" t="n">
        <v>20</v>
      </c>
      <c r="D17" s="13" t="n">
        <v>0.018182</v>
      </c>
      <c r="E17" s="2" t="inlineStr">
        <is>
          <t>REV00 = 20 meses de recebimento após a obra</t>
        </is>
      </c>
    </row>
    <row r="18">
      <c r="A18" s="14" t="inlineStr">
        <is>
          <t>Custo direto CD (R$/m² de construção)</t>
        </is>
      </c>
      <c r="B18" s="17" t="n">
        <v>2500</v>
      </c>
      <c r="D18" s="13" t="n">
        <v>0.018182</v>
      </c>
      <c r="E18" s="2" t="inlineStr">
        <is>
          <t>REV00 — R$ 2.500/m² · AMARELO</t>
        </is>
      </c>
    </row>
    <row r="19">
      <c r="A19" s="14" t="inlineStr">
        <is>
          <t>Custo indireto CI (R$/mês de obra)</t>
        </is>
      </c>
      <c r="B19" s="18" t="n">
        <v>285529.3</v>
      </c>
      <c r="D19" s="13" t="n">
        <v>0.033807</v>
      </c>
      <c r="E19" s="2" t="inlineStr">
        <is>
          <t>REV00 — canteiro, engenharia, equipe: 285,5 k/mês × 36 = 10,28 M</t>
        </is>
      </c>
    </row>
    <row r="20">
      <c r="A20" s="14" t="inlineStr">
        <is>
          <t>Administração da obra (s/ CD+CI)</t>
        </is>
      </c>
      <c r="B20" s="23" t="n">
        <v>0.08</v>
      </c>
      <c r="D20" s="13" t="n">
        <v>0.033807</v>
      </c>
      <c r="E20" s="2" t="inlineStr">
        <is>
          <t>REV00 — 8 % = 4,37 M</t>
        </is>
      </c>
    </row>
    <row r="21">
      <c r="A21" s="4" t="inlineStr">
        <is>
          <t>Custo de obra CD+CI+adm (R$)</t>
        </is>
      </c>
      <c r="B21" s="24">
        <f>(Premissas!$B$18*Premissas!$B$15+Premissas!$B$19*Premissas!$B$16)*(1+Premissas!$B$20)</f>
        <v/>
      </c>
      <c r="D21" s="13" t="n">
        <v>0.033807</v>
      </c>
      <c r="E21" s="2" t="inlineStr">
        <is>
          <t>fórmula — 58,96 M (REV00) · O GATE · AMARELO. O teto por ambiente de 48 M vira META (linha abaixo, pilha E-R48)</t>
        </is>
      </c>
    </row>
    <row r="22">
      <c r="A22" s="14" t="inlineStr">
        <is>
          <t>Meta do orçamento por ambiente (R$)</t>
        </is>
      </c>
      <c r="B22" s="18" t="n">
        <v>48000000</v>
      </c>
      <c r="D22" s="13" t="n">
        <v>0.033807</v>
      </c>
      <c r="E22" s="2" t="inlineStr">
        <is>
          <t>teto do Orcamento-Altezza-ambientes.xlsx (03/09/2026) — NÃO entra no fluxo; a pilha E-R48 mede o que vale chegar lá</t>
        </is>
      </c>
    </row>
    <row r="23">
      <c r="A23" s="14" t="inlineStr">
        <is>
          <t>R$/m² construído real</t>
        </is>
      </c>
      <c r="B23" s="19">
        <f>Premissas!$B$21/Premissas!$B$14</f>
        <v/>
      </c>
      <c r="D23" s="13" t="n">
        <v>0.015625</v>
      </c>
      <c r="E23" s="2" t="inlineStr">
        <is>
          <t>fórmula — 2.748/m² real; compare com a aba Custo de Obra (CUB ago/26 = 3.223,52 equiv.)</t>
        </is>
      </c>
    </row>
    <row r="24">
      <c r="A24" s="14" t="inlineStr">
        <is>
          <t>INCC a.a. aplicado à obra</t>
        </is>
      </c>
      <c r="B24" s="13" t="n">
        <v>0</v>
      </c>
      <c r="D24" s="13" t="n">
        <v>0.015625</v>
      </c>
      <c r="E24" s="2" t="inlineStr">
        <is>
          <t>0 = obra a preço de hoje (convenção do modelo-base). Referência medida: INCC-M 12 m ago/2026 = 6,56 % (FGV)</t>
        </is>
      </c>
    </row>
    <row r="25">
      <c r="A25" s="11" t="inlineStr">
        <is>
          <t>TERRENO E VENDAS</t>
        </is>
      </c>
      <c r="D25" s="13" t="n">
        <v>0.015625</v>
      </c>
    </row>
    <row r="26">
      <c r="A26" s="14" t="inlineStr">
        <is>
          <t>Permuta do terreno (% VGV, paga em receita)</t>
        </is>
      </c>
      <c r="B26" s="23" t="n">
        <v>0.11</v>
      </c>
      <c r="D26" s="13" t="n">
        <v>0.015625</v>
      </c>
      <c r="E26" s="2" t="inlineStr">
        <is>
          <t>REV00 = 11 % (permuta financeira); era 12 % no nosso; mercado 15–20 % (aprofundamento §6) — não sai caixa</t>
        </is>
      </c>
    </row>
    <row r="27">
      <c r="A27" s="14" t="inlineStr">
        <is>
          <t>Fator receita da SPE</t>
        </is>
      </c>
      <c r="B27" s="25">
        <f>1-Premissas!$B$26</f>
        <v/>
      </c>
      <c r="D27" s="13" t="n">
        <v>0.015625</v>
      </c>
      <c r="E27" s="2" t="inlineStr">
        <is>
          <t>fórmula</t>
        </is>
      </c>
    </row>
    <row r="28">
      <c r="A28" s="14" t="inlineStr">
        <is>
          <t>Vendido no lançamento</t>
        </is>
      </c>
      <c r="B28" s="23" t="n">
        <v>0.3</v>
      </c>
      <c r="D28" s="13" t="n">
        <v>0.015625</v>
      </c>
      <c r="E28" s="2" t="inlineStr">
        <is>
          <t>meta do playbook</t>
        </is>
      </c>
    </row>
    <row r="29">
      <c r="A29" s="14" t="inlineStr">
        <is>
          <t>VSO mensal (do estoque)</t>
        </is>
      </c>
      <c r="B29" s="26" t="n">
        <v>0.035</v>
      </c>
      <c r="D29" s="13" t="n">
        <v>0.015625</v>
      </c>
      <c r="E29" s="2" t="inlineStr">
        <is>
          <t>conservador vs VSO medido 72–76 % em 12 m (demanda §1) · AMARELO</t>
        </is>
      </c>
    </row>
    <row r="30">
      <c r="A30" s="14" t="inlineStr">
        <is>
          <t>Recebido durante a obra</t>
        </is>
      </c>
      <c r="B30" s="23" t="n">
        <v>0.4</v>
      </c>
      <c r="D30" s="13" t="n">
        <v>0.029911</v>
      </c>
      <c r="E30" s="2" t="inlineStr">
        <is>
          <t>convenção da casa (40/60)</t>
        </is>
      </c>
    </row>
    <row r="31">
      <c r="A31" s="14" t="inlineStr">
        <is>
          <t>Recebido nas chaves</t>
        </is>
      </c>
      <c r="B31" s="25">
        <f>1-Premissas!$B$30</f>
        <v/>
      </c>
      <c r="D31" s="13" t="n">
        <v>0.029911</v>
      </c>
      <c r="E31" s="2" t="inlineStr">
        <is>
          <t>fórmula — é o que o repasse SFH paga (aba Repasse Comprador)</t>
        </is>
      </c>
    </row>
    <row r="32">
      <c r="A32" s="14" t="inlineStr">
        <is>
          <t>Tabela progressiva (%/mês)</t>
        </is>
      </c>
      <c r="B32" s="13" t="n">
        <v>0.004</v>
      </c>
      <c r="D32" s="13" t="n">
        <v>0.029911</v>
      </c>
      <c r="E32" s="2" t="inlineStr">
        <is>
          <t>0,4 %/mês ≈ 4,9 % a.a. — abaixo do INCC (6,56 %); o mercado repassa</t>
        </is>
      </c>
    </row>
    <row r="33">
      <c r="A33" s="14" t="inlineStr">
        <is>
          <t>Avulsas + depósitos vendidos na entrega (R$)</t>
        </is>
      </c>
      <c r="B33" s="18" t="n">
        <v>1264000</v>
      </c>
      <c r="D33" s="13" t="n">
        <v>0.029911</v>
      </c>
      <c r="E33" s="2" t="inlineStr">
        <is>
          <t>12 vagas × 40 mil + 98 depósitos × 8 mil — fora do VGV</t>
        </is>
      </c>
    </row>
    <row r="34">
      <c r="A34" s="11" t="inlineStr">
        <is>
          <t>DESPESAS</t>
        </is>
      </c>
      <c r="D34" s="13" t="n">
        <v>0.029911</v>
      </c>
    </row>
    <row r="35">
      <c r="A35" s="14" t="inlineStr">
        <is>
          <t>Comissão de vendas (s/ venda)</t>
        </is>
      </c>
      <c r="B35" s="23" t="n">
        <v>0.05</v>
      </c>
      <c r="D35" s="13" t="n">
        <v>0.014286</v>
      </c>
      <c r="E35" s="2" t="inlineStr">
        <is>
          <t>REV00 = 5 % (era 4 % no nosso)</t>
        </is>
      </c>
    </row>
    <row r="36">
      <c r="A36" s="14" t="inlineStr">
        <is>
          <t>Marketing (s/ VGV)</t>
        </is>
      </c>
      <c r="B36" s="23" t="n">
        <v>0.03</v>
      </c>
      <c r="D36" s="13" t="n">
        <v>0.014286</v>
      </c>
      <c r="E36" s="2" t="inlineStr">
        <is>
          <t>3 % nos dois — inclui stand + decorado (~R$ 0,6–0,8 M, aprofundamento §6)</t>
        </is>
      </c>
    </row>
    <row r="37">
      <c r="A37" s="14" t="inlineStr">
        <is>
          <t>— fração do marketing no lançamento</t>
        </is>
      </c>
      <c r="B37" s="23" t="n">
        <v>0.4</v>
      </c>
      <c r="D37" s="13" t="n">
        <v>0.025</v>
      </c>
    </row>
    <row r="38">
      <c r="A38" s="14" t="inlineStr">
        <is>
          <t>Adm. de carteira + seguros (s/ VGV)</t>
        </is>
      </c>
      <c r="B38" s="13" t="n">
        <v>0.022722</v>
      </c>
      <c r="D38" s="13" t="n">
        <v>0.025</v>
      </c>
      <c r="E38" s="2" t="inlineStr">
        <is>
          <t>REV00 explícito: carteira 2.21 M (2 % do VGV ao longo de 60 m) + seguros 0.30 M (0,5 %) sobre o VGV dele = 2.27 % (era SG&amp;A 4 %)</t>
        </is>
      </c>
    </row>
    <row r="39">
      <c r="A39" s="14" t="inlineStr">
        <is>
          <t>RET (s/ recebido)</t>
        </is>
      </c>
      <c r="B39" s="23" t="n">
        <v>0.04</v>
      </c>
      <c r="D39" s="27">
        <f>SUM(D3:D38)</f>
        <v/>
      </c>
      <c r="E39" s="2" t="inlineStr">
        <is>
          <t>patrimônio de afetação — Lei 10.931/2004 (IRPJ+CSLL+PIS+COFINS); REV00 idem 4 %</t>
        </is>
      </c>
    </row>
    <row r="40">
      <c r="A40" s="14" t="inlineStr">
        <is>
          <t>Projetos + aprovações + condicionantes + TAO + contingência + pós-obra (s/ VGV)</t>
        </is>
      </c>
      <c r="B40" s="13" t="n">
        <v>0.039863</v>
      </c>
      <c r="D40" s="2">
        <f>IF(Premissas!$B$16&lt;&gt;36,"⚠ pesos p/ 36 m","ok 36 m")</f>
        <v/>
      </c>
      <c r="E40" s="2" t="inlineStr">
        <is>
          <t>REV00 explícito: 1.09 + 1.27 + 0.55 + 0.12 + 0.82 + 0.55 M = 3.99 % (era OUT 5 %)</t>
        </is>
      </c>
    </row>
    <row r="41">
      <c r="A41" s="11" t="inlineStr">
        <is>
          <t>FINANCIAMENTO À PRODUÇÃO (plano empresário)</t>
        </is>
      </c>
    </row>
    <row r="42">
      <c r="A42" s="14" t="inlineStr">
        <is>
          <t>Banco cobre % de cada desembolso de obra</t>
        </is>
      </c>
      <c r="B42" s="23" t="n">
        <v>0.5</v>
      </c>
      <c r="E42" s="2" t="inlineStr">
        <is>
          <t>0 = sem banco · Caixa financia até 85 % · Bradesco até 70 % (aba Financiamento)</t>
        </is>
      </c>
    </row>
    <row r="43">
      <c r="A43" s="14" t="inlineStr">
        <is>
          <t>CDI a.a. (medido)</t>
        </is>
      </c>
      <c r="B43" s="13" t="n">
        <v>0.139</v>
      </c>
      <c r="E43" s="2" t="inlineStr">
        <is>
          <t>B3/BCB 04/09/2026 — Selic 14,00 % (Copom 05/08/2026)</t>
        </is>
      </c>
    </row>
    <row r="44">
      <c r="A44" s="14" t="inlineStr">
        <is>
          <t>Spread do plano empresário</t>
        </is>
      </c>
      <c r="B44" s="13" t="n">
        <v>0.03</v>
      </c>
      <c r="E44" s="2" t="inlineStr">
        <is>
          <t>CDI + 3 (recursos livres) — [COTAR] Caixa/BB/Bradesco/Itaú; SBPE sai TR + ~11–12 %</t>
        </is>
      </c>
    </row>
    <row r="45">
      <c r="A45" s="14" t="inlineStr">
        <is>
          <t>Juros do plano empresário a.a.</t>
        </is>
      </c>
      <c r="B45" s="28">
        <f>Premissas!$B$43+Premissas!$B$44</f>
        <v/>
      </c>
      <c r="E45" s="2" t="inlineStr">
        <is>
          <t>fórmula — 16,9 % a.a. (era 14 % no modelo de 01/09: o CDI subiu)</t>
        </is>
      </c>
    </row>
    <row r="46">
      <c r="A46" s="14" t="inlineStr">
        <is>
          <t>Juros ao mês</t>
        </is>
      </c>
      <c r="B46" s="28">
        <f>(1+Premissas!$B$45)^(1/12)-1</f>
        <v/>
      </c>
      <c r="E46" s="2" t="inlineStr">
        <is>
          <t>fórmula</t>
        </is>
      </c>
    </row>
    <row r="47">
      <c r="A47" s="14" t="inlineStr">
        <is>
          <t>INCC ao mês</t>
        </is>
      </c>
      <c r="B47" s="28">
        <f>(1+Premissas!$B$24)^(1/12)-1</f>
        <v/>
      </c>
      <c r="E47" s="2" t="inlineStr">
        <is>
          <t>fórmula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12" customWidth="1" min="3" max="3"/>
    <col width="12" customWidth="1" min="4" max="4"/>
    <col width="14" customWidth="1" min="5" max="5"/>
    <col width="34" customWidth="1" min="6" max="6"/>
    <col width="52" customWidth="1" min="7" max="7"/>
  </cols>
  <sheetData>
    <row r="1">
      <c r="A1" s="1" t="inlineStr">
        <is>
          <t>CRONOGRAMA — DO PROTOCOLO À ENTREGA (físico × financeiro)</t>
        </is>
      </c>
    </row>
    <row r="2">
      <c r="A2" s="2" t="inlineStr">
        <is>
          <t>Etapas pré-obra: playbook M0–M8 do caderno §8 e normas §1. Obra: 36 meses (REV00 do Wesley; a base engª §6 dizia 28–30 — 36 é o prazo prudente da incorporadora). Mês 0 do fluxo = lançamento. Durações [PRÉ-DIM]: o cronograma executivo é do escritório/construtora.</t>
        </is>
      </c>
    </row>
    <row r="4">
      <c r="A4" s="3" t="inlineStr">
        <is>
          <t>Fase</t>
        </is>
      </c>
      <c r="B4" s="3" t="inlineStr">
        <is>
          <t>Etapa</t>
        </is>
      </c>
      <c r="C4" s="3" t="inlineStr">
        <is>
          <t>Início (mês)</t>
        </is>
      </c>
      <c r="D4" s="3" t="inlineStr">
        <is>
          <t>Fim (mês)</t>
        </is>
      </c>
      <c r="E4" s="3" t="inlineStr">
        <is>
          <t>Duração (meses)</t>
        </is>
      </c>
      <c r="F4" s="3" t="inlineStr">
        <is>
          <t>Dono / gate</t>
        </is>
      </c>
      <c r="G4" s="3" t="inlineStr">
        <is>
          <t>O que destrava</t>
        </is>
      </c>
    </row>
    <row r="5">
      <c r="A5" t="inlineStr">
        <is>
          <t>Pré-obra</t>
        </is>
      </c>
      <c r="B5" s="12" t="inlineStr">
        <is>
          <t>M0 · Consulta prévia SMPU (área computável, gabarito) + OPEA/DECEA (100 m)</t>
        </is>
      </c>
      <c r="C5" s="15" t="n">
        <v>-10</v>
      </c>
      <c r="D5" s="15" t="n">
        <v>-9</v>
      </c>
      <c r="E5">
        <f>D5-C5</f>
        <v/>
      </c>
      <c r="F5" s="12" t="inlineStr">
        <is>
          <t>Incorporadora · SMPU · DECEA</t>
        </is>
      </c>
      <c r="G5" s="12" t="inlineStr">
        <is>
          <t>CA 4,0 pleno confirmado; altura sem restrição (precedente 138 m)</t>
        </is>
      </c>
    </row>
    <row r="6">
      <c r="A6" t="inlineStr">
        <is>
          <t>Pré-obra</t>
        </is>
      </c>
      <c r="B6" s="12" t="inlineStr">
        <is>
          <t>Estudo preliminar (EP) + sondagem SPT + prova de carga inundada</t>
        </is>
      </c>
      <c r="C6" s="15" t="n">
        <v>-10</v>
      </c>
      <c r="D6" s="15" t="n">
        <v>-8</v>
      </c>
      <c r="E6">
        <f>D6-C6</f>
        <v/>
      </c>
      <c r="F6" s="12" t="inlineStr">
        <is>
          <t>Escritório · geotécnico</t>
        </is>
      </c>
      <c r="G6" s="12" t="inlineStr">
        <is>
          <t>solo colapsível medido → fundação sem surpresa</t>
        </is>
      </c>
    </row>
    <row r="7">
      <c r="A7" t="inlineStr">
        <is>
          <t>Pré-obra</t>
        </is>
      </c>
      <c r="B7" s="12" t="inlineStr">
        <is>
          <t>Anteprojeto + EIV (computável &gt; 12 mil m²) + orçamento executivo</t>
        </is>
      </c>
      <c r="C7" s="15" t="n">
        <v>-8</v>
      </c>
      <c r="D7" s="15" t="n">
        <v>-5</v>
      </c>
      <c r="E7">
        <f>D7-C7</f>
        <v/>
      </c>
      <c r="F7" s="12" t="inlineStr">
        <is>
          <t>Escritório · SEPLAN</t>
        </is>
      </c>
      <c r="G7" s="12" t="inlineStr">
        <is>
          <t>ORÇAMENTO REAL = o gate único de margem</t>
        </is>
      </c>
    </row>
    <row r="8">
      <c r="A8" t="inlineStr">
        <is>
          <t>Pré-obra</t>
        </is>
      </c>
      <c r="B8" s="12" t="inlineStr">
        <is>
          <t>Projeto legal → alvará · PSCIP (CBMMG) · concessionárias</t>
        </is>
      </c>
      <c r="C8" s="15" t="n">
        <v>-5</v>
      </c>
      <c r="D8" s="15" t="n">
        <v>-2</v>
      </c>
      <c r="E8">
        <f>D8-C8</f>
        <v/>
      </c>
      <c r="F8" s="12" t="inlineStr">
        <is>
          <t>Escritório · Prefeitura · CBMMG</t>
        </is>
      </c>
      <c r="G8" s="12" t="inlineStr">
        <is>
          <t>alvará de construção</t>
        </is>
      </c>
    </row>
    <row r="9">
      <c r="A9" t="inlineStr">
        <is>
          <t>Pré-obra</t>
        </is>
      </c>
      <c r="B9" s="12" t="inlineStr">
        <is>
          <t>Memorial de incorporação (NBR 12721) + RI + patrimônio de afetação + opção RET</t>
        </is>
      </c>
      <c r="C9" s="15" t="n">
        <v>-3</v>
      </c>
      <c r="D9" s="15" t="n">
        <v>0</v>
      </c>
      <c r="E9">
        <f>D9-C9</f>
        <v/>
      </c>
      <c r="F9" s="12" t="inlineStr">
        <is>
          <t>Jurídico · Cartório RI</t>
        </is>
      </c>
      <c r="G9" s="12" t="inlineStr">
        <is>
          <t>pode vender (Lei 4.591 art. 32) · RET 4 %</t>
        </is>
      </c>
    </row>
    <row r="10">
      <c r="A10" t="inlineStr">
        <is>
          <t>Pré-obra</t>
        </is>
      </c>
      <c r="B10" s="12" t="inlineStr">
        <is>
          <t>Cotação do plano empresário (3 bancos) + assinatura</t>
        </is>
      </c>
      <c r="C10" s="15" t="n">
        <v>-4</v>
      </c>
      <c r="D10" s="15" t="n">
        <v>2</v>
      </c>
      <c r="E10">
        <f>D10-C10</f>
        <v/>
      </c>
      <c r="F10" s="12" t="inlineStr">
        <is>
          <t>Financeiro · bancos</t>
        </is>
      </c>
      <c r="G10" s="12" t="inlineStr">
        <is>
          <t>banco libera a partir do % vendido mínimo</t>
        </is>
      </c>
    </row>
    <row r="11">
      <c r="A11" t="inlineStr">
        <is>
          <t>Lançamento</t>
        </is>
      </c>
      <c r="B11" s="12" t="inlineStr">
        <is>
          <t>Stand + decorado + tabela + lançamento (cinquentenário 2027)</t>
        </is>
      </c>
      <c r="C11" s="15" t="n">
        <v>-2</v>
      </c>
      <c r="D11" s="15" t="n">
        <v>0</v>
      </c>
      <c r="E11">
        <f>D11-C11</f>
        <v/>
      </c>
      <c r="F11" s="12" t="inlineStr">
        <is>
          <t>Comercial · marketing</t>
        </is>
      </c>
      <c r="G11" s="12" t="inlineStr">
        <is>
          <t>30 % vendido no lançamento (premissa)</t>
        </is>
      </c>
    </row>
    <row r="12">
      <c r="A12" s="29" t="inlineStr">
        <is>
          <t>Obra</t>
        </is>
      </c>
      <c r="B12" s="30" t="inlineStr">
        <is>
          <t>Serviços preliminares + mobilização + canteiro (REV00 etapa 1 · 3 %)</t>
        </is>
      </c>
      <c r="C12" s="31" t="n">
        <v>0</v>
      </c>
      <c r="D12" s="31" t="n">
        <v>2</v>
      </c>
      <c r="E12" s="29">
        <f>D12-C12</f>
        <v/>
      </c>
      <c r="F12" s="30" t="inlineStr">
        <is>
          <t>Construtora</t>
        </is>
      </c>
      <c r="G12" s="30" t="inlineStr">
        <is>
          <t>pódio elimina escavação/contenção (decisão 01/09)</t>
        </is>
      </c>
    </row>
    <row r="13">
      <c r="A13" s="29" t="inlineStr">
        <is>
          <t>Obra</t>
        </is>
      </c>
      <c r="B13" s="30" t="inlineStr">
        <is>
          <t>Fundações (hélice/estacões da cota do terreno) (REV00 etapa 2 · 8 %)</t>
        </is>
      </c>
      <c r="C13" s="31" t="n">
        <v>1</v>
      </c>
      <c r="D13" s="31" t="n">
        <v>5</v>
      </c>
      <c r="E13" s="29">
        <f>D13-C13</f>
        <v/>
      </c>
      <c r="F13" s="30" t="inlineStr">
        <is>
          <t>Construtora</t>
        </is>
      </c>
      <c r="G13" s="30" t="inlineStr"/>
    </row>
    <row r="14">
      <c r="A14" s="29" t="inlineStr">
        <is>
          <t>Obra</t>
        </is>
      </c>
      <c r="B14" s="30" t="inlineStr">
        <is>
          <t>Estrutura: pódio G1/G2 + 30 lajes (ciclo 5–7 dias) + coroa (REV00 etapa 3 · 25 %)</t>
        </is>
      </c>
      <c r="C14" s="31" t="n">
        <v>4</v>
      </c>
      <c r="D14" s="31" t="n">
        <v>15</v>
      </c>
      <c r="E14" s="29">
        <f>D14-C14</f>
        <v/>
      </c>
      <c r="F14" s="30" t="inlineStr">
        <is>
          <t>Construtora</t>
        </is>
      </c>
      <c r="G14" s="30" t="inlineStr">
        <is>
          <t>caminho crítico do 1º ano</t>
        </is>
      </c>
    </row>
    <row r="15">
      <c r="A15" s="29" t="inlineStr">
        <is>
          <t>Obra</t>
        </is>
      </c>
      <c r="B15" s="30" t="inlineStr">
        <is>
          <t>Alvenaria/vedações (REV00 etapa 4 · 12 %) + instalações VRV/risers/PCI (etapa 5 · 15 %) — defasadas 3–4 lajes</t>
        </is>
      </c>
      <c r="C15" s="31" t="n">
        <v>9</v>
      </c>
      <c r="D15" s="31" t="n">
        <v>26</v>
      </c>
      <c r="E15" s="29">
        <f>D15-C15</f>
        <v/>
      </c>
      <c r="F15" s="30" t="inlineStr">
        <is>
          <t>Construtora · instaladoras</t>
        </is>
      </c>
      <c r="G15" s="30" t="inlineStr"/>
    </row>
    <row r="16">
      <c r="A16" s="29" t="inlineStr">
        <is>
          <t>Obra</t>
        </is>
      </c>
      <c r="B16" s="30" t="inlineStr">
        <is>
          <t>Impermeabilização + revestimentos (REV00 etapa 6 · 18 %) + fachada (brises + vidro + pedra)</t>
        </is>
      </c>
      <c r="C16" s="31" t="n">
        <v>14</v>
      </c>
      <c r="D16" s="31" t="n">
        <v>30</v>
      </c>
      <c r="E16" s="29">
        <f>D16-C16</f>
        <v/>
      </c>
      <c r="F16" s="30" t="inlineStr">
        <is>
          <t>Construtora · fachadista</t>
        </is>
      </c>
      <c r="G16" s="30" t="inlineStr"/>
    </row>
    <row r="17">
      <c r="A17" s="29" t="inlineStr">
        <is>
          <t>Obra</t>
        </is>
      </c>
      <c r="B17" s="30" t="inlineStr">
        <is>
          <t>Esquadrias + pintura + acabamentos + paisagismo (REV00 etapa 7 · 14 %)</t>
        </is>
      </c>
      <c r="C17" s="31" t="n">
        <v>22</v>
      </c>
      <c r="D17" s="31" t="n">
        <v>34</v>
      </c>
      <c r="E17" s="29">
        <f>D17-C17</f>
        <v/>
      </c>
      <c r="F17" s="30" t="inlineStr">
        <is>
          <t>Construtora · paisagista</t>
        </is>
      </c>
      <c r="G17" s="30" t="inlineStr"/>
    </row>
    <row r="18">
      <c r="A18" s="29" t="inlineStr">
        <is>
          <t>Obra</t>
        </is>
      </c>
      <c r="B18" s="30" t="inlineStr">
        <is>
          <t>Elevadores + piscina + comissionamento + AVCB + habite-se (REV00 etapa 8 · 5 %)</t>
        </is>
      </c>
      <c r="C18" s="31" t="n">
        <v>30</v>
      </c>
      <c r="D18" s="31" t="n">
        <v>36</v>
      </c>
      <c r="E18" s="29">
        <f>D18-C18</f>
        <v/>
      </c>
      <c r="F18" s="30" t="inlineStr">
        <is>
          <t>Construtora · CBMMG · Prefeitura</t>
        </is>
      </c>
      <c r="G18" s="30" t="inlineStr">
        <is>
          <t>habite-se → chaves → repasse SFH (60 %)</t>
        </is>
      </c>
    </row>
    <row r="19">
      <c r="A19" t="inlineStr">
        <is>
          <t>Pós</t>
        </is>
      </c>
      <c r="B19" s="12" t="inlineStr">
        <is>
          <t>Entrega + instituição do condomínio + venda do estoque (cauda 20 m)</t>
        </is>
      </c>
      <c r="C19" s="15" t="n">
        <v>36</v>
      </c>
      <c r="D19" s="15" t="n">
        <v>56</v>
      </c>
      <c r="E19">
        <f>D19-C19</f>
        <v/>
      </c>
      <c r="F19" s="12" t="inlineStr">
        <is>
          <t>Incorporadora · síndico</t>
        </is>
      </c>
      <c r="G19" s="12" t="inlineStr">
        <is>
          <t>amortização do plano empresário nas chaves</t>
        </is>
      </c>
    </row>
    <row r="21">
      <c r="A21" s="4" t="inlineStr">
        <is>
          <t>Tempo total do empreendimento (M0 → fim da cauda)</t>
        </is>
      </c>
      <c r="E21" s="4">
        <f>MAX(D5:D19)-MIN(C5:C19)</f>
        <v/>
      </c>
    </row>
    <row r="22">
      <c r="A22" s="2" t="inlineStr">
        <is>
          <t>≈ 66 meses do protocolo ao último apartamento vendido; 36 de obra + 20 de recebimento (REV00). 68 % das obras no Brasil estouram o prazo (pesquisa de mercado) — a aba Sensibilidade mede 30, 33, 40 e 42 meses.</t>
        </is>
      </c>
    </row>
    <row r="24">
      <c r="A24" s="4" t="inlineStr">
        <is>
          <t>DESEMBOLSO MENSAL DA OBRA — curva S (fórmulas ligadas às Premissas)</t>
        </is>
      </c>
    </row>
    <row r="25">
      <c r="A25" s="3" t="inlineStr">
        <is>
          <t>Mês</t>
        </is>
      </c>
      <c r="B25" s="3" t="inlineStr">
        <is>
          <t>Fase dominante</t>
        </is>
      </c>
      <c r="C25" s="3" t="inlineStr">
        <is>
          <t>Peso curva S</t>
        </is>
      </c>
      <c r="D25" s="3" t="inlineStr">
        <is>
          <t>Desembolso nominal (R$)</t>
        </is>
      </c>
      <c r="E25" s="3" t="inlineStr">
        <is>
          <t>Com INCC (R$)</t>
        </is>
      </c>
      <c r="F25" s="3" t="inlineStr">
        <is>
          <t>Acumulado (R$)</t>
        </is>
      </c>
      <c r="G25" s="3" t="inlineStr">
        <is>
          <t>% físico acumulado</t>
        </is>
      </c>
    </row>
    <row r="26">
      <c r="A26" t="n">
        <v>0</v>
      </c>
      <c r="B26" t="inlineStr">
        <is>
          <t>preliminares/fundações</t>
        </is>
      </c>
      <c r="C26" s="32">
        <f>INDEX(Premissas!$D$3:$D$38,1)</f>
        <v/>
      </c>
      <c r="D26" s="6">
        <f>Premissas!$B$21*C26</f>
        <v/>
      </c>
      <c r="E26" s="6">
        <f>D26*(1+Premissas!$B$47)^A26</f>
        <v/>
      </c>
      <c r="F26" s="6">
        <f>E26</f>
        <v/>
      </c>
      <c r="G26" s="10">
        <f>SUM($C$26:C26)</f>
        <v/>
      </c>
    </row>
    <row r="27">
      <c r="A27" t="n">
        <v>1</v>
      </c>
      <c r="B27" t="inlineStr">
        <is>
          <t>preliminares/fundações</t>
        </is>
      </c>
      <c r="C27" s="32">
        <f>INDEX(Premissas!$D$3:$D$38,2)</f>
        <v/>
      </c>
      <c r="D27" s="6">
        <f>Premissas!$B$21*C27</f>
        <v/>
      </c>
      <c r="E27" s="6">
        <f>D27*(1+Premissas!$B$47)^A27</f>
        <v/>
      </c>
      <c r="F27" s="6">
        <f>F26+E27</f>
        <v/>
      </c>
      <c r="G27" s="10">
        <f>SUM($C$26:C27)</f>
        <v/>
      </c>
    </row>
    <row r="28">
      <c r="A28" t="n">
        <v>2</v>
      </c>
      <c r="B28" t="inlineStr">
        <is>
          <t>preliminares/fundações</t>
        </is>
      </c>
      <c r="C28" s="32">
        <f>INDEX(Premissas!$D$3:$D$38,3)</f>
        <v/>
      </c>
      <c r="D28" s="6">
        <f>Premissas!$B$21*C28</f>
        <v/>
      </c>
      <c r="E28" s="6">
        <f>D28*(1+Premissas!$B$47)^A28</f>
        <v/>
      </c>
      <c r="F28" s="6">
        <f>F27+E28</f>
        <v/>
      </c>
      <c r="G28" s="10">
        <f>SUM($C$26:C28)</f>
        <v/>
      </c>
    </row>
    <row r="29">
      <c r="A29" t="n">
        <v>3</v>
      </c>
      <c r="B29" t="inlineStr">
        <is>
          <t>preliminares/fundações</t>
        </is>
      </c>
      <c r="C29" s="32">
        <f>INDEX(Premissas!$D$3:$D$38,4)</f>
        <v/>
      </c>
      <c r="D29" s="6">
        <f>Premissas!$B$21*C29</f>
        <v/>
      </c>
      <c r="E29" s="6">
        <f>D29*(1+Premissas!$B$47)^A29</f>
        <v/>
      </c>
      <c r="F29" s="6">
        <f>F28+E29</f>
        <v/>
      </c>
      <c r="G29" s="10">
        <f>SUM($C$26:C29)</f>
        <v/>
      </c>
    </row>
    <row r="30">
      <c r="A30" t="n">
        <v>4</v>
      </c>
      <c r="B30" t="inlineStr">
        <is>
          <t>estrutura</t>
        </is>
      </c>
      <c r="C30" s="32">
        <f>INDEX(Premissas!$D$3:$D$38,5)</f>
        <v/>
      </c>
      <c r="D30" s="6">
        <f>Premissas!$B$21*C30</f>
        <v/>
      </c>
      <c r="E30" s="6">
        <f>D30*(1+Premissas!$B$47)^A30</f>
        <v/>
      </c>
      <c r="F30" s="6">
        <f>F29+E30</f>
        <v/>
      </c>
      <c r="G30" s="10">
        <f>SUM($C$26:C30)</f>
        <v/>
      </c>
    </row>
    <row r="31">
      <c r="A31" t="n">
        <v>5</v>
      </c>
      <c r="B31" t="inlineStr">
        <is>
          <t>estrutura</t>
        </is>
      </c>
      <c r="C31" s="32">
        <f>INDEX(Premissas!$D$3:$D$38,6)</f>
        <v/>
      </c>
      <c r="D31" s="6">
        <f>Premissas!$B$21*C31</f>
        <v/>
      </c>
      <c r="E31" s="6">
        <f>D31*(1+Premissas!$B$47)^A31</f>
        <v/>
      </c>
      <c r="F31" s="6">
        <f>F30+E31</f>
        <v/>
      </c>
      <c r="G31" s="10">
        <f>SUM($C$26:C31)</f>
        <v/>
      </c>
    </row>
    <row r="32">
      <c r="A32" t="n">
        <v>6</v>
      </c>
      <c r="B32" t="inlineStr">
        <is>
          <t>estrutura</t>
        </is>
      </c>
      <c r="C32" s="32">
        <f>INDEX(Premissas!$D$3:$D$38,7)</f>
        <v/>
      </c>
      <c r="D32" s="6">
        <f>Premissas!$B$21*C32</f>
        <v/>
      </c>
      <c r="E32" s="6">
        <f>D32*(1+Premissas!$B$47)^A32</f>
        <v/>
      </c>
      <c r="F32" s="6">
        <f>F31+E32</f>
        <v/>
      </c>
      <c r="G32" s="10">
        <f>SUM($C$26:C32)</f>
        <v/>
      </c>
    </row>
    <row r="33">
      <c r="A33" t="n">
        <v>7</v>
      </c>
      <c r="B33" t="inlineStr">
        <is>
          <t>estrutura</t>
        </is>
      </c>
      <c r="C33" s="32">
        <f>INDEX(Premissas!$D$3:$D$38,8)</f>
        <v/>
      </c>
      <c r="D33" s="6">
        <f>Premissas!$B$21*C33</f>
        <v/>
      </c>
      <c r="E33" s="6">
        <f>D33*(1+Premissas!$B$47)^A33</f>
        <v/>
      </c>
      <c r="F33" s="6">
        <f>F32+E33</f>
        <v/>
      </c>
      <c r="G33" s="10">
        <f>SUM($C$26:C33)</f>
        <v/>
      </c>
    </row>
    <row r="34">
      <c r="A34" t="n">
        <v>8</v>
      </c>
      <c r="B34" t="inlineStr">
        <is>
          <t>estrutura</t>
        </is>
      </c>
      <c r="C34" s="32">
        <f>INDEX(Premissas!$D$3:$D$38,9)</f>
        <v/>
      </c>
      <c r="D34" s="6">
        <f>Premissas!$B$21*C34</f>
        <v/>
      </c>
      <c r="E34" s="6">
        <f>D34*(1+Premissas!$B$47)^A34</f>
        <v/>
      </c>
      <c r="F34" s="6">
        <f>F33+E34</f>
        <v/>
      </c>
      <c r="G34" s="10">
        <f>SUM($C$26:C34)</f>
        <v/>
      </c>
    </row>
    <row r="35">
      <c r="A35" t="n">
        <v>9</v>
      </c>
      <c r="B35" t="inlineStr">
        <is>
          <t>estrutura</t>
        </is>
      </c>
      <c r="C35" s="32">
        <f>INDEX(Premissas!$D$3:$D$38,10)</f>
        <v/>
      </c>
      <c r="D35" s="6">
        <f>Premissas!$B$21*C35</f>
        <v/>
      </c>
      <c r="E35" s="6">
        <f>D35*(1+Premissas!$B$47)^A35</f>
        <v/>
      </c>
      <c r="F35" s="6">
        <f>F34+E35</f>
        <v/>
      </c>
      <c r="G35" s="10">
        <f>SUM($C$26:C35)</f>
        <v/>
      </c>
    </row>
    <row r="36">
      <c r="A36" t="n">
        <v>10</v>
      </c>
      <c r="B36" t="inlineStr">
        <is>
          <t>estrutura</t>
        </is>
      </c>
      <c r="C36" s="32">
        <f>INDEX(Premissas!$D$3:$D$38,11)</f>
        <v/>
      </c>
      <c r="D36" s="6">
        <f>Premissas!$B$21*C36</f>
        <v/>
      </c>
      <c r="E36" s="6">
        <f>D36*(1+Premissas!$B$47)^A36</f>
        <v/>
      </c>
      <c r="F36" s="6">
        <f>F35+E36</f>
        <v/>
      </c>
      <c r="G36" s="10">
        <f>SUM($C$26:C36)</f>
        <v/>
      </c>
    </row>
    <row r="37">
      <c r="A37" t="n">
        <v>11</v>
      </c>
      <c r="B37" t="inlineStr">
        <is>
          <t>estrutura</t>
        </is>
      </c>
      <c r="C37" s="32">
        <f>INDEX(Premissas!$D$3:$D$38,12)</f>
        <v/>
      </c>
      <c r="D37" s="6">
        <f>Premissas!$B$21*C37</f>
        <v/>
      </c>
      <c r="E37" s="6">
        <f>D37*(1+Premissas!$B$47)^A37</f>
        <v/>
      </c>
      <c r="F37" s="6">
        <f>F36+E37</f>
        <v/>
      </c>
      <c r="G37" s="10">
        <f>SUM($C$26:C37)</f>
        <v/>
      </c>
    </row>
    <row r="38">
      <c r="A38" t="n">
        <v>12</v>
      </c>
      <c r="B38" t="inlineStr">
        <is>
          <t>vedações + instalações</t>
        </is>
      </c>
      <c r="C38" s="32">
        <f>INDEX(Premissas!$D$3:$D$38,13)</f>
        <v/>
      </c>
      <c r="D38" s="6">
        <f>Premissas!$B$21*C38</f>
        <v/>
      </c>
      <c r="E38" s="6">
        <f>D38*(1+Premissas!$B$47)^A38</f>
        <v/>
      </c>
      <c r="F38" s="6">
        <f>F37+E38</f>
        <v/>
      </c>
      <c r="G38" s="10">
        <f>SUM($C$26:C38)</f>
        <v/>
      </c>
    </row>
    <row r="39">
      <c r="A39" t="n">
        <v>13</v>
      </c>
      <c r="B39" t="inlineStr">
        <is>
          <t>vedações + instalações</t>
        </is>
      </c>
      <c r="C39" s="32">
        <f>INDEX(Premissas!$D$3:$D$38,14)</f>
        <v/>
      </c>
      <c r="D39" s="6">
        <f>Premissas!$B$21*C39</f>
        <v/>
      </c>
      <c r="E39" s="6">
        <f>D39*(1+Premissas!$B$47)^A39</f>
        <v/>
      </c>
      <c r="F39" s="6">
        <f>F38+E39</f>
        <v/>
      </c>
      <c r="G39" s="10">
        <f>SUM($C$26:C39)</f>
        <v/>
      </c>
    </row>
    <row r="40">
      <c r="A40" t="n">
        <v>14</v>
      </c>
      <c r="B40" t="inlineStr">
        <is>
          <t>vedações + instalações</t>
        </is>
      </c>
      <c r="C40" s="32">
        <f>INDEX(Premissas!$D$3:$D$38,15)</f>
        <v/>
      </c>
      <c r="D40" s="6">
        <f>Premissas!$B$21*C40</f>
        <v/>
      </c>
      <c r="E40" s="6">
        <f>D40*(1+Premissas!$B$47)^A40</f>
        <v/>
      </c>
      <c r="F40" s="6">
        <f>F39+E40</f>
        <v/>
      </c>
      <c r="G40" s="10">
        <f>SUM($C$26:C40)</f>
        <v/>
      </c>
    </row>
    <row r="41">
      <c r="A41" t="n">
        <v>15</v>
      </c>
      <c r="B41" t="inlineStr">
        <is>
          <t>vedações + instalações</t>
        </is>
      </c>
      <c r="C41" s="32">
        <f>INDEX(Premissas!$D$3:$D$38,16)</f>
        <v/>
      </c>
      <c r="D41" s="6">
        <f>Premissas!$B$21*C41</f>
        <v/>
      </c>
      <c r="E41" s="6">
        <f>D41*(1+Premissas!$B$47)^A41</f>
        <v/>
      </c>
      <c r="F41" s="6">
        <f>F40+E41</f>
        <v/>
      </c>
      <c r="G41" s="10">
        <f>SUM($C$26:C41)</f>
        <v/>
      </c>
    </row>
    <row r="42">
      <c r="A42" t="n">
        <v>16</v>
      </c>
      <c r="B42" t="inlineStr">
        <is>
          <t>vedações + instalações</t>
        </is>
      </c>
      <c r="C42" s="32">
        <f>INDEX(Premissas!$D$3:$D$38,17)</f>
        <v/>
      </c>
      <c r="D42" s="6">
        <f>Premissas!$B$21*C42</f>
        <v/>
      </c>
      <c r="E42" s="6">
        <f>D42*(1+Premissas!$B$47)^A42</f>
        <v/>
      </c>
      <c r="F42" s="6">
        <f>F41+E42</f>
        <v/>
      </c>
      <c r="G42" s="10">
        <f>SUM($C$26:C42)</f>
        <v/>
      </c>
    </row>
    <row r="43">
      <c r="A43" t="n">
        <v>17</v>
      </c>
      <c r="B43" t="inlineStr">
        <is>
          <t>vedações + instalações</t>
        </is>
      </c>
      <c r="C43" s="32">
        <f>INDEX(Premissas!$D$3:$D$38,18)</f>
        <v/>
      </c>
      <c r="D43" s="6">
        <f>Premissas!$B$21*C43</f>
        <v/>
      </c>
      <c r="E43" s="6">
        <f>D43*(1+Premissas!$B$47)^A43</f>
        <v/>
      </c>
      <c r="F43" s="6">
        <f>F42+E43</f>
        <v/>
      </c>
      <c r="G43" s="10">
        <f>SUM($C$26:C43)</f>
        <v/>
      </c>
    </row>
    <row r="44">
      <c r="A44" t="n">
        <v>18</v>
      </c>
      <c r="B44" t="inlineStr">
        <is>
          <t>vedações + instalações</t>
        </is>
      </c>
      <c r="C44" s="32">
        <f>INDEX(Premissas!$D$3:$D$38,19)</f>
        <v/>
      </c>
      <c r="D44" s="6">
        <f>Premissas!$B$21*C44</f>
        <v/>
      </c>
      <c r="E44" s="6">
        <f>D44*(1+Premissas!$B$47)^A44</f>
        <v/>
      </c>
      <c r="F44" s="6">
        <f>F43+E44</f>
        <v/>
      </c>
      <c r="G44" s="10">
        <f>SUM($C$26:C44)</f>
        <v/>
      </c>
    </row>
    <row r="45">
      <c r="A45" t="n">
        <v>19</v>
      </c>
      <c r="B45" t="inlineStr">
        <is>
          <t>vedações + instalações</t>
        </is>
      </c>
      <c r="C45" s="32">
        <f>INDEX(Premissas!$D$3:$D$38,20)</f>
        <v/>
      </c>
      <c r="D45" s="6">
        <f>Premissas!$B$21*C45</f>
        <v/>
      </c>
      <c r="E45" s="6">
        <f>D45*(1+Premissas!$B$47)^A45</f>
        <v/>
      </c>
      <c r="F45" s="6">
        <f>F44+E45</f>
        <v/>
      </c>
      <c r="G45" s="10">
        <f>SUM($C$26:C45)</f>
        <v/>
      </c>
    </row>
    <row r="46">
      <c r="A46" t="n">
        <v>20</v>
      </c>
      <c r="B46" t="inlineStr">
        <is>
          <t>revestimentos + acabamentos</t>
        </is>
      </c>
      <c r="C46" s="32">
        <f>INDEX(Premissas!$D$3:$D$38,21)</f>
        <v/>
      </c>
      <c r="D46" s="6">
        <f>Premissas!$B$21*C46</f>
        <v/>
      </c>
      <c r="E46" s="6">
        <f>D46*(1+Premissas!$B$47)^A46</f>
        <v/>
      </c>
      <c r="F46" s="6">
        <f>F45+E46</f>
        <v/>
      </c>
      <c r="G46" s="10">
        <f>SUM($C$26:C46)</f>
        <v/>
      </c>
    </row>
    <row r="47">
      <c r="A47" t="n">
        <v>21</v>
      </c>
      <c r="B47" t="inlineStr">
        <is>
          <t>revestimentos + acabamentos</t>
        </is>
      </c>
      <c r="C47" s="32">
        <f>INDEX(Premissas!$D$3:$D$38,22)</f>
        <v/>
      </c>
      <c r="D47" s="6">
        <f>Premissas!$B$21*C47</f>
        <v/>
      </c>
      <c r="E47" s="6">
        <f>D47*(1+Premissas!$B$47)^A47</f>
        <v/>
      </c>
      <c r="F47" s="6">
        <f>F46+E47</f>
        <v/>
      </c>
      <c r="G47" s="10">
        <f>SUM($C$26:C47)</f>
        <v/>
      </c>
    </row>
    <row r="48">
      <c r="A48" t="n">
        <v>22</v>
      </c>
      <c r="B48" t="inlineStr">
        <is>
          <t>revestimentos + acabamentos</t>
        </is>
      </c>
      <c r="C48" s="32">
        <f>INDEX(Premissas!$D$3:$D$38,23)</f>
        <v/>
      </c>
      <c r="D48" s="6">
        <f>Premissas!$B$21*C48</f>
        <v/>
      </c>
      <c r="E48" s="6">
        <f>D48*(1+Premissas!$B$47)^A48</f>
        <v/>
      </c>
      <c r="F48" s="6">
        <f>F47+E48</f>
        <v/>
      </c>
      <c r="G48" s="10">
        <f>SUM($C$26:C48)</f>
        <v/>
      </c>
    </row>
    <row r="49">
      <c r="A49" t="n">
        <v>23</v>
      </c>
      <c r="B49" t="inlineStr">
        <is>
          <t>revestimentos + acabamentos</t>
        </is>
      </c>
      <c r="C49" s="32">
        <f>INDEX(Premissas!$D$3:$D$38,24)</f>
        <v/>
      </c>
      <c r="D49" s="6">
        <f>Premissas!$B$21*C49</f>
        <v/>
      </c>
      <c r="E49" s="6">
        <f>D49*(1+Premissas!$B$47)^A49</f>
        <v/>
      </c>
      <c r="F49" s="6">
        <f>F48+E49</f>
        <v/>
      </c>
      <c r="G49" s="10">
        <f>SUM($C$26:C49)</f>
        <v/>
      </c>
    </row>
    <row r="50">
      <c r="A50" t="n">
        <v>24</v>
      </c>
      <c r="B50" t="inlineStr">
        <is>
          <t>revestimentos + acabamentos</t>
        </is>
      </c>
      <c r="C50" s="32">
        <f>INDEX(Premissas!$D$3:$D$38,25)</f>
        <v/>
      </c>
      <c r="D50" s="6">
        <f>Premissas!$B$21*C50</f>
        <v/>
      </c>
      <c r="E50" s="6">
        <f>D50*(1+Premissas!$B$47)^A50</f>
        <v/>
      </c>
      <c r="F50" s="6">
        <f>F49+E50</f>
        <v/>
      </c>
      <c r="G50" s="10">
        <f>SUM($C$26:C50)</f>
        <v/>
      </c>
    </row>
    <row r="51">
      <c r="A51" t="n">
        <v>25</v>
      </c>
      <c r="B51" t="inlineStr">
        <is>
          <t>revestimentos + acabamentos</t>
        </is>
      </c>
      <c r="C51" s="32">
        <f>INDEX(Premissas!$D$3:$D$38,26)</f>
        <v/>
      </c>
      <c r="D51" s="6">
        <f>Premissas!$B$21*C51</f>
        <v/>
      </c>
      <c r="E51" s="6">
        <f>D51*(1+Premissas!$B$47)^A51</f>
        <v/>
      </c>
      <c r="F51" s="6">
        <f>F50+E51</f>
        <v/>
      </c>
      <c r="G51" s="10">
        <f>SUM($C$26:C51)</f>
        <v/>
      </c>
    </row>
    <row r="52">
      <c r="A52" t="n">
        <v>26</v>
      </c>
      <c r="B52" t="inlineStr">
        <is>
          <t>revestimentos + acabamentos</t>
        </is>
      </c>
      <c r="C52" s="32">
        <f>INDEX(Premissas!$D$3:$D$38,27)</f>
        <v/>
      </c>
      <c r="D52" s="6">
        <f>Premissas!$B$21*C52</f>
        <v/>
      </c>
      <c r="E52" s="6">
        <f>D52*(1+Premissas!$B$47)^A52</f>
        <v/>
      </c>
      <c r="F52" s="6">
        <f>F51+E52</f>
        <v/>
      </c>
      <c r="G52" s="10">
        <f>SUM($C$26:C52)</f>
        <v/>
      </c>
    </row>
    <row r="53">
      <c r="A53" t="n">
        <v>27</v>
      </c>
      <c r="B53" t="inlineStr">
        <is>
          <t>revestimentos + acabamentos</t>
        </is>
      </c>
      <c r="C53" s="32">
        <f>INDEX(Premissas!$D$3:$D$38,28)</f>
        <v/>
      </c>
      <c r="D53" s="6">
        <f>Premissas!$B$21*C53</f>
        <v/>
      </c>
      <c r="E53" s="6">
        <f>D53*(1+Premissas!$B$47)^A53</f>
        <v/>
      </c>
      <c r="F53" s="6">
        <f>F52+E53</f>
        <v/>
      </c>
      <c r="G53" s="10">
        <f>SUM($C$26:C53)</f>
        <v/>
      </c>
    </row>
    <row r="54">
      <c r="A54" t="n">
        <v>28</v>
      </c>
      <c r="B54" t="inlineStr">
        <is>
          <t>revestimentos + acabamentos</t>
        </is>
      </c>
      <c r="C54" s="32">
        <f>INDEX(Premissas!$D$3:$D$38,29)</f>
        <v/>
      </c>
      <c r="D54" s="6">
        <f>Premissas!$B$21*C54</f>
        <v/>
      </c>
      <c r="E54" s="6">
        <f>D54*(1+Premissas!$B$47)^A54</f>
        <v/>
      </c>
      <c r="F54" s="6">
        <f>F53+E54</f>
        <v/>
      </c>
      <c r="G54" s="10">
        <f>SUM($C$26:C54)</f>
        <v/>
      </c>
    </row>
    <row r="55">
      <c r="A55" t="n">
        <v>29</v>
      </c>
      <c r="B55" t="inlineStr">
        <is>
          <t>revestimentos + acabamentos</t>
        </is>
      </c>
      <c r="C55" s="32">
        <f>INDEX(Premissas!$D$3:$D$38,30)</f>
        <v/>
      </c>
      <c r="D55" s="6">
        <f>Premissas!$B$21*C55</f>
        <v/>
      </c>
      <c r="E55" s="6">
        <f>D55*(1+Premissas!$B$47)^A55</f>
        <v/>
      </c>
      <c r="F55" s="6">
        <f>F54+E55</f>
        <v/>
      </c>
      <c r="G55" s="10">
        <f>SUM($C$26:C55)</f>
        <v/>
      </c>
    </row>
    <row r="56">
      <c r="A56" t="n">
        <v>30</v>
      </c>
      <c r="B56" t="inlineStr">
        <is>
          <t>revestimentos + acabamentos</t>
        </is>
      </c>
      <c r="C56" s="32">
        <f>INDEX(Premissas!$D$3:$D$38,31)</f>
        <v/>
      </c>
      <c r="D56" s="6">
        <f>Premissas!$B$21*C56</f>
        <v/>
      </c>
      <c r="E56" s="6">
        <f>D56*(1+Premissas!$B$47)^A56</f>
        <v/>
      </c>
      <c r="F56" s="6">
        <f>F55+E56</f>
        <v/>
      </c>
      <c r="G56" s="10">
        <f>SUM($C$26:C56)</f>
        <v/>
      </c>
    </row>
    <row r="57">
      <c r="A57" t="n">
        <v>31</v>
      </c>
      <c r="B57" t="inlineStr">
        <is>
          <t>esquadrias/elevadores/VRV</t>
        </is>
      </c>
      <c r="C57" s="32">
        <f>INDEX(Premissas!$D$3:$D$38,32)</f>
        <v/>
      </c>
      <c r="D57" s="6">
        <f>Premissas!$B$21*C57</f>
        <v/>
      </c>
      <c r="E57" s="6">
        <f>D57*(1+Premissas!$B$47)^A57</f>
        <v/>
      </c>
      <c r="F57" s="6">
        <f>F56+E57</f>
        <v/>
      </c>
      <c r="G57" s="10">
        <f>SUM($C$26:C57)</f>
        <v/>
      </c>
    </row>
    <row r="58">
      <c r="A58" t="n">
        <v>32</v>
      </c>
      <c r="B58" t="inlineStr">
        <is>
          <t>esquadrias/elevadores/VRV</t>
        </is>
      </c>
      <c r="C58" s="32">
        <f>INDEX(Premissas!$D$3:$D$38,33)</f>
        <v/>
      </c>
      <c r="D58" s="6">
        <f>Premissas!$B$21*C58</f>
        <v/>
      </c>
      <c r="E58" s="6">
        <f>D58*(1+Premissas!$B$47)^A58</f>
        <v/>
      </c>
      <c r="F58" s="6">
        <f>F57+E58</f>
        <v/>
      </c>
      <c r="G58" s="10">
        <f>SUM($C$26:C58)</f>
        <v/>
      </c>
    </row>
    <row r="59">
      <c r="A59" t="n">
        <v>33</v>
      </c>
      <c r="B59" t="inlineStr">
        <is>
          <t>habite-se/entrega</t>
        </is>
      </c>
      <c r="C59" s="32">
        <f>INDEX(Premissas!$D$3:$D$38,34)</f>
        <v/>
      </c>
      <c r="D59" s="6">
        <f>Premissas!$B$21*C59</f>
        <v/>
      </c>
      <c r="E59" s="6">
        <f>D59*(1+Premissas!$B$47)^A59</f>
        <v/>
      </c>
      <c r="F59" s="6">
        <f>F58+E59</f>
        <v/>
      </c>
      <c r="G59" s="10">
        <f>SUM($C$26:C59)</f>
        <v/>
      </c>
    </row>
    <row r="60">
      <c r="A60" t="n">
        <v>34</v>
      </c>
      <c r="B60" t="inlineStr">
        <is>
          <t>habite-se/entrega</t>
        </is>
      </c>
      <c r="C60" s="32">
        <f>INDEX(Premissas!$D$3:$D$38,35)</f>
        <v/>
      </c>
      <c r="D60" s="6">
        <f>Premissas!$B$21*C60</f>
        <v/>
      </c>
      <c r="E60" s="6">
        <f>D60*(1+Premissas!$B$47)^A60</f>
        <v/>
      </c>
      <c r="F60" s="6">
        <f>F59+E60</f>
        <v/>
      </c>
      <c r="G60" s="10">
        <f>SUM($C$26:C60)</f>
        <v/>
      </c>
    </row>
    <row r="61">
      <c r="A61" t="n">
        <v>35</v>
      </c>
      <c r="B61" t="inlineStr">
        <is>
          <t>habite-se/entrega</t>
        </is>
      </c>
      <c r="C61" s="32">
        <f>INDEX(Premissas!$D$3:$D$38,36)</f>
        <v/>
      </c>
      <c r="D61" s="6">
        <f>Premissas!$B$21*C61</f>
        <v/>
      </c>
      <c r="E61" s="6">
        <f>D61*(1+Premissas!$B$47)^A61</f>
        <v/>
      </c>
      <c r="F61" s="6">
        <f>F60+E61</f>
        <v/>
      </c>
      <c r="G61" s="10">
        <f>SUM($C$26:C61)</f>
        <v/>
      </c>
    </row>
    <row r="62">
      <c r="A62" s="4" t="inlineStr">
        <is>
          <t>TOTAL</t>
        </is>
      </c>
      <c r="D62" s="33">
        <f>SUM(D26:D61)</f>
        <v/>
      </c>
      <c r="E62" s="33">
        <f>SUM(E26:E61)</f>
        <v/>
      </c>
    </row>
    <row r="63">
      <c r="A63" s="2" t="inlineStr">
        <is>
          <t>Com INCC = 0 nas Premissas as duas colunas são iguais. Ligue 6,56 % para ver a obra a preços correntes (pilha H, medida no base antigo de 48 M/30 m: +R$ 3.8 M de custo, que a tabela progressiva a 0,4 %/mês NÃO cobre inteira). A curva S aqui é a do dossiê (6 fases); a do REV00 tem 8 etapas (3/8/25/12/15/18/14/5 %) — mesma forma, mesmo total.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58" customWidth="1" min="1" max="1"/>
    <col width="17" customWidth="1" min="2" max="2"/>
    <col width="17" customWidth="1" min="3" max="3"/>
    <col width="17" customWidth="1" min="4" max="4"/>
    <col width="17" customWidth="1" min="5" max="5"/>
  </cols>
  <sheetData>
    <row r="1">
      <c r="A1" s="1" t="inlineStr">
        <is>
          <t>CUSTO DE OBRA — TRÊS ÂNCORAS NA MESMA RÉGUA (e o que cada uma exclui)</t>
        </is>
      </c>
    </row>
    <row r="2">
      <c r="A2" s="2" t="inlineStr">
        <is>
          <t>CUB/m² Sinduscon-MG AGOSTO/2026 lido no PDF oficial (emitido 03/09/2026). Área equivalente pela NBR 12721 (Quadro de Áreas do caderno).</t>
        </is>
      </c>
    </row>
    <row r="4">
      <c r="A4" s="3" t="inlineStr">
        <is>
          <t>Quadro de áreas (NBR 12721)</t>
        </is>
      </c>
      <c r="B4" s="3" t="inlineStr">
        <is>
          <t>m²</t>
        </is>
      </c>
      <c r="C4" s="3" t="inlineStr">
        <is>
          <t>Peso</t>
        </is>
      </c>
      <c r="D4" s="3" t="inlineStr">
        <is>
          <t>Equivalente (m²)</t>
        </is>
      </c>
    </row>
    <row r="5">
      <c r="A5" t="inlineStr">
        <is>
          <t>Privativa (84 × 108 + 14 × 160)</t>
        </is>
      </c>
      <c r="B5" s="20">
        <f>Premissas!$B$11</f>
        <v/>
      </c>
      <c r="C5" s="15" t="n">
        <v>1</v>
      </c>
      <c r="D5" s="34">
        <f>B5*C5</f>
        <v/>
      </c>
    </row>
    <row r="6">
      <c r="A6" t="inlineStr">
        <is>
          <t>Comum coberta (térreo 700 + circulações 2.380 + rooftop cob. 150 + máquinas 100)</t>
        </is>
      </c>
      <c r="B6" s="21" t="n">
        <v>3330</v>
      </c>
      <c r="C6" s="15" t="n">
        <v>0.75</v>
      </c>
      <c r="D6" s="34">
        <f>B6*C6</f>
        <v/>
      </c>
    </row>
    <row r="7">
      <c r="A7" t="inlineStr">
        <is>
          <t>Rooftop descoberto (piscina/deck)</t>
        </is>
      </c>
      <c r="B7" s="21" t="n">
        <v>175</v>
      </c>
      <c r="C7" s="15" t="n">
        <v>0.3</v>
      </c>
      <c r="D7" s="34">
        <f>B7*C7</f>
        <v/>
      </c>
    </row>
    <row r="8">
      <c r="A8" t="inlineStr">
        <is>
          <t>Garagem G1+G2 (pódio)</t>
        </is>
      </c>
      <c r="B8" s="21" t="n">
        <v>3712</v>
      </c>
      <c r="C8" s="15" t="n">
        <v>0.55</v>
      </c>
      <c r="D8" s="34">
        <f>B8*C8</f>
        <v/>
      </c>
    </row>
    <row r="9">
      <c r="A9" s="4" t="inlineStr">
        <is>
          <t>Área equivalente total</t>
        </is>
      </c>
      <c r="D9" s="35">
        <f>SUM(D5:D8)</f>
        <v/>
      </c>
    </row>
    <row r="11">
      <c r="A11" s="3" t="inlineStr">
        <is>
          <t>CUB/m² Sinduscon-MG — agosto/2026 (NBR 12721:2006)</t>
        </is>
      </c>
      <c r="B11" s="3" t="inlineStr">
        <is>
          <t>R$/m²</t>
        </is>
      </c>
      <c r="C11" s="3" t="inlineStr"/>
      <c r="D11" s="3" t="inlineStr">
        <is>
          <t>Fonte</t>
        </is>
      </c>
    </row>
    <row r="12">
      <c r="A12" s="4" t="inlineStr">
        <is>
          <t>R-16 padrão ALTO (o do Altezza)</t>
        </is>
      </c>
      <c r="B12" s="36" t="n">
        <v>3223.52</v>
      </c>
      <c r="D12" s="2" t="inlineStr">
        <is>
          <t>tabela_cub_agosto_2026.pdf — lido 08/09/2026</t>
        </is>
      </c>
    </row>
    <row r="13">
      <c r="A13" t="inlineStr">
        <is>
          <t>R-16 padrão normal</t>
        </is>
      </c>
      <c r="B13" s="22" t="n">
        <v>2480.39</v>
      </c>
      <c r="D13" s="2" t="inlineStr">
        <is>
          <t>idem</t>
        </is>
      </c>
    </row>
    <row r="14">
      <c r="A14" t="inlineStr">
        <is>
          <t>R-8 padrão alto</t>
        </is>
      </c>
      <c r="B14" s="22" t="n">
        <v>3120.21</v>
      </c>
      <c r="D14" s="2" t="inlineStr">
        <is>
          <t>idem</t>
        </is>
      </c>
    </row>
    <row r="15">
      <c r="A15" t="inlineStr">
        <is>
          <t>R-1 padrão alto</t>
        </is>
      </c>
      <c r="B15" s="22" t="n">
        <v>3852.38</v>
      </c>
      <c r="D15" s="2" t="inlineStr">
        <is>
          <t>idem</t>
        </is>
      </c>
    </row>
    <row r="16">
      <c r="A16" t="inlineStr">
        <is>
          <t>CSL-16 alto (lojas da fachada ativa)</t>
        </is>
      </c>
      <c r="B16" s="22" t="n">
        <v>3680.45</v>
      </c>
      <c r="D16" s="2" t="inlineStr">
        <is>
          <t>idem</t>
        </is>
      </c>
    </row>
    <row r="17">
      <c r="A17" t="inlineStr">
        <is>
          <t>R-16 alto julho/2026 (registro anterior na base engª §7)</t>
        </is>
      </c>
      <c r="B17" s="22" t="n">
        <v>3145.83</v>
      </c>
      <c r="D17" s="2" t="inlineStr">
        <is>
          <t>base-conhecimento-engenharia-civil §7 — +2,5 % em um mês</t>
        </is>
      </c>
    </row>
    <row r="19">
      <c r="A19" s="3" t="inlineStr">
        <is>
          <t>As três âncoras (+ a meta)</t>
        </is>
      </c>
      <c r="B19" s="3" t="inlineStr">
        <is>
          <t>Obra (R$)</t>
        </is>
      </c>
      <c r="C19" s="3" t="inlineStr">
        <is>
          <t>R$/m² equiv</t>
        </is>
      </c>
      <c r="D19" s="3" t="inlineStr">
        <is>
          <t>R$/m² real</t>
        </is>
      </c>
      <c r="E19" s="3" t="inlineStr">
        <is>
          <t>Margem pilha E (medida)</t>
        </is>
      </c>
    </row>
    <row r="20">
      <c r="A20" t="inlineStr">
        <is>
          <t>① Custo de obra do REV00 — CD+CI+adm (o que o modelo usa desde 08/09)</t>
        </is>
      </c>
      <c r="B20" s="37">
        <f>Premissas!$B$21</f>
        <v/>
      </c>
      <c r="C20" s="6">
        <f>B20/'Custo de Obra'!$D$9</f>
        <v/>
      </c>
      <c r="D20" s="6">
        <f>B20/Premissas!$B$14</f>
        <v/>
      </c>
      <c r="E20" s="38" t="n">
        <v>0.2042716652857184</v>
      </c>
    </row>
    <row r="21">
      <c r="A21" t="inlineStr">
        <is>
          <t>② SINAPI-MG × 1,72 alto padrão = R$ 3.200/m² equiv (modelo de 01/09)</t>
        </is>
      </c>
      <c r="B21" s="6">
        <f>3200*'Custo de Obra'!$D$9</f>
        <v/>
      </c>
      <c r="C21" s="6">
        <f>B21/'Custo de Obra'!$D$9</f>
        <v/>
      </c>
      <c r="D21" s="6">
        <f>B21/Premissas!$B$14</f>
        <v/>
      </c>
      <c r="E21" s="38" t="n">
        <v>0.2829496344015455</v>
      </c>
    </row>
    <row r="22">
      <c r="A22" t="inlineStr">
        <is>
          <t>③ CUB R-16 alto ago/26 × equivalente (só o que o CUB cobre)</t>
        </is>
      </c>
      <c r="B22" s="6">
        <f>'Custo de Obra'!$B$12*'Custo de Obra'!$D$9</f>
        <v/>
      </c>
      <c r="C22" s="6">
        <f>B22/'Custo de Obra'!$D$9</f>
        <v/>
      </c>
      <c r="D22" s="6">
        <f>B22/Premissas!$B$14</f>
        <v/>
      </c>
      <c r="E22" s="38" t="n">
        <v>0.2793038577530557</v>
      </c>
    </row>
    <row r="23">
      <c r="A23" s="2" t="inlineStr">
        <is>
          <t xml:space="preserve">   + itens que o CUB EXCLUI por definição (texto oficial da tabela):</t>
        </is>
      </c>
    </row>
    <row r="24">
      <c r="A24" t="inlineStr">
        <is>
          <t xml:space="preserve">   fundações (hélice/estacões + blocos) — [COTAR] pós-sondagem</t>
        </is>
      </c>
      <c r="B24" s="18" t="n">
        <v>2600000</v>
      </c>
    </row>
    <row r="25">
      <c r="A25" t="inlineStr">
        <is>
          <t xml:space="preserve">   elevadores (2 sociais + 1 serviço, 32 paradas) — [COTAR]</t>
        </is>
      </c>
      <c r="B25" s="18" t="n">
        <v>1650000</v>
      </c>
    </row>
    <row r="26">
      <c r="A26" t="inlineStr">
        <is>
          <t xml:space="preserve">   ar-condicionado central VRV (casa de máquinas + risers) — [COTAR]</t>
        </is>
      </c>
      <c r="B26" s="18" t="n">
        <v>1500000</v>
      </c>
    </row>
    <row r="27">
      <c r="A27" t="inlineStr">
        <is>
          <t xml:space="preserve">   piscina de borda + equipamentos do rooftop — [COTAR]</t>
        </is>
      </c>
      <c r="B27" s="18" t="n">
        <v>600000</v>
      </c>
    </row>
    <row r="28">
      <c r="A28" t="inlineStr">
        <is>
          <t xml:space="preserve">   paisagismo (jardim norte + suspenso) + espelhos d'água</t>
        </is>
      </c>
      <c r="B28" s="18" t="n">
        <v>900000</v>
      </c>
    </row>
    <row r="29">
      <c r="A29" t="inlineStr">
        <is>
          <t xml:space="preserve">   aquecimento solar central</t>
        </is>
      </c>
      <c r="B29" s="18" t="n">
        <v>400000</v>
      </c>
    </row>
    <row r="30">
      <c r="A30" t="inlineStr">
        <is>
          <t xml:space="preserve">   projetos (arquitetura, estrutura, instalações, especiais) ~3 % do CUB</t>
        </is>
      </c>
      <c r="B30" s="19">
        <f>0.03*B22</f>
        <v/>
      </c>
    </row>
    <row r="31">
      <c r="A31" t="inlineStr">
        <is>
          <t xml:space="preserve">   impostos/taxas/emolumentos + instituição do condomínio ~1 %</t>
        </is>
      </c>
      <c r="B31" s="19">
        <f>0.01*B22</f>
        <v/>
      </c>
    </row>
    <row r="32">
      <c r="A32" s="4" t="inlineStr">
        <is>
          <t>③ CUB-ancorado COMPLETO (CUB + exclusões)</t>
        </is>
      </c>
      <c r="B32" s="33">
        <f>B22+SUM(B24:B31)</f>
        <v/>
      </c>
      <c r="C32" s="6">
        <f>B32/'Custo de Obra'!$D$9</f>
        <v/>
      </c>
      <c r="D32" s="6">
        <f>B32/Premissas!$B$14</f>
        <v/>
      </c>
      <c r="E32" s="39" t="n">
        <v>0.1847548620712132</v>
      </c>
    </row>
    <row r="33">
      <c r="A33" t="inlineStr">
        <is>
          <t>④ META — teto do orçamento por ambiente (48 M; pilha E-R48)</t>
        </is>
      </c>
      <c r="B33" s="6">
        <f>Premissas!$B$22</f>
        <v/>
      </c>
      <c r="C33" s="6">
        <f>B33/'Custo de Obra'!$D$9</f>
        <v/>
      </c>
      <c r="D33" s="6">
        <f>B33/Premissas!$B$14</f>
        <v/>
      </c>
      <c r="E33" s="38" t="n">
        <v>0.3111323928303951</v>
      </c>
    </row>
    <row r="35">
      <c r="A35" s="2" t="inlineStr">
        <is>
          <t>LEITURA: o REV00 ① (R$ 59.0 M = 2.748/m² real) fica 3 % abaixo do CUB completo ③ e 23 % ACIMA da meta ④ (48 M, que só fechou comprimindo os paramétricos [REF] por 0,637). É a premissa da incorporadora, documentada — por isso virou base. A meta fica como o que o orçamento executivo tem de provar.</t>
        </is>
      </c>
    </row>
    <row r="36">
      <c r="A36" s="2" t="inlineStr">
        <is>
          <t>Na pilha E-R a margem vai de 20.4 % (REV00) para 18.5 % (CUB completo) e 31.1 % (meta 48 M). Breakeven do piso de 20 %: R$ 59.4 M (2,769/m² real) — o REV00 está a R$ 0.4 M dele. O orçamento executivo do escritório (Cronograma, etapa 3) é o gate.</t>
        </is>
      </c>
    </row>
    <row r="37">
      <c r="A37" s="3" t="inlineStr">
        <is>
          <t>Orçamento por ambiente (Orcamento-Altezza-ambientes.xlsx, META 48 M)</t>
        </is>
      </c>
      <c r="B37" s="3" t="inlineStr">
        <is>
          <t>m² real</t>
        </is>
      </c>
      <c r="C37" s="3" t="inlineStr">
        <is>
          <t>R$/m²</t>
        </is>
      </c>
      <c r="D37" s="3" t="inlineStr">
        <is>
          <t>Total (R$)</t>
        </is>
      </c>
    </row>
    <row r="38">
      <c r="A38" t="inlineStr">
        <is>
          <t>Privativo core (84 × 108 m²)</t>
        </is>
      </c>
      <c r="B38" s="34" t="n">
        <v>9072</v>
      </c>
      <c r="C38" s="6">
        <f>D38/B38</f>
        <v/>
      </c>
      <c r="D38" s="6" t="n">
        <v>23200000</v>
      </c>
    </row>
    <row r="39">
      <c r="A39" t="inlineStr">
        <is>
          <t>Privativo Sky (14 × 160 m²)</t>
        </is>
      </c>
      <c r="B39" s="34" t="n">
        <v>2240</v>
      </c>
      <c r="C39" s="6">
        <f>D39/B39</f>
        <v/>
      </c>
      <c r="D39" s="6" t="n">
        <v>6600000</v>
      </c>
    </row>
    <row r="40">
      <c r="A40" t="inlineStr">
        <is>
          <t>Circulação/núcleo da torre (28 pav)</t>
        </is>
      </c>
      <c r="B40" s="34" t="n">
        <v>2794</v>
      </c>
      <c r="C40" s="6">
        <f>D40/B40</f>
        <v/>
      </c>
      <c r="D40" s="6" t="n">
        <v>7300000</v>
      </c>
    </row>
    <row r="41">
      <c r="A41" t="inlineStr">
        <is>
          <t>Comum térreo (lobby, academia, spa…)</t>
        </is>
      </c>
      <c r="B41" s="34" t="n">
        <v>625</v>
      </c>
      <c r="C41" s="6">
        <f>D41/B41</f>
        <v/>
      </c>
      <c r="D41" s="6" t="n">
        <v>1700000</v>
      </c>
    </row>
    <row r="42">
      <c r="A42" t="inlineStr">
        <is>
          <t>Lojas fachada ativa + doca + café</t>
        </is>
      </c>
      <c r="B42" s="34" t="n">
        <v>367</v>
      </c>
      <c r="C42" s="6">
        <f>D42/B42</f>
        <v/>
      </c>
      <c r="D42" s="6" t="n">
        <v>500000</v>
      </c>
    </row>
    <row r="43">
      <c r="A43" t="inlineStr">
        <is>
          <t>Garagem G1+G2 (pódio)</t>
        </is>
      </c>
      <c r="B43" s="34" t="n">
        <v>3712</v>
      </c>
      <c r="C43" s="6">
        <f>D43/B43</f>
        <v/>
      </c>
      <c r="D43" s="6" t="n">
        <v>3800000</v>
      </c>
    </row>
    <row r="44">
      <c r="A44" t="inlineStr">
        <is>
          <t>Térreo sob pódio (pilotis, cochera)</t>
        </is>
      </c>
      <c r="B44" s="34" t="n">
        <v>900</v>
      </c>
      <c r="C44" s="6">
        <f>D44/B44</f>
        <v/>
      </c>
      <c r="D44" s="6" t="n">
        <v>1300000</v>
      </c>
    </row>
    <row r="45">
      <c r="A45" t="inlineStr">
        <is>
          <t>Jardim suspenso nível 3</t>
        </is>
      </c>
      <c r="B45" s="34" t="n">
        <v>1354</v>
      </c>
      <c r="C45" s="6">
        <f>D45/B45</f>
        <v/>
      </c>
      <c r="D45" s="6" t="n">
        <v>2100000</v>
      </c>
    </row>
    <row r="46">
      <c r="A46" t="inlineStr">
        <is>
          <t>Rooftop clube (nível 30)</t>
        </is>
      </c>
      <c r="B46" s="34" t="n">
        <v>392</v>
      </c>
      <c r="C46" s="6">
        <f>D46/B46</f>
        <v/>
      </c>
      <c r="D46" s="6" t="n">
        <v>1600000</v>
      </c>
    </row>
    <row r="47">
      <c r="A47" s="4" t="inlineStr">
        <is>
          <t>OBRA TOTAL</t>
        </is>
      </c>
      <c r="B47" s="34">
        <f>SUM(B38:B46)</f>
        <v/>
      </c>
      <c r="D47" s="33">
        <f>SUM(D38:D46)</f>
        <v/>
      </c>
    </row>
    <row r="48">
      <c r="A48" s="2" t="inlineStr">
        <is>
          <t>Composição serviço × ambiente (estrutura, fundações, vedações, fachada, pisos [ROBÔ], louças, instalações, esquadrias, automação, elevadores, piscina, solar, impermeabilização, paisagismo, canteiro 9 %) está no arquivo Orcamento-Altezza-ambientes.xlsx.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72"/>
  <sheetViews>
    <sheetView workbookViewId="0">
      <selection activeCell="A1" sqref="A1"/>
    </sheetView>
  </sheetViews>
  <sheetFormatPr baseColWidth="8" defaultRowHeight="15"/>
  <cols>
    <col width="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</cols>
  <sheetData>
    <row r="1">
      <c r="A1" s="3" t="inlineStr">
        <is>
          <t>Mês</t>
        </is>
      </c>
      <c r="B1" s="3" t="inlineStr">
        <is>
          <t>Fator tabela</t>
        </is>
      </c>
      <c r="C1" s="3" t="inlineStr">
        <is>
          <t>Estoque inicial (R$)</t>
        </is>
      </c>
      <c r="D1" s="3" t="inlineStr">
        <is>
          <t>Vendas tabela-base (R$)</t>
        </is>
      </c>
      <c r="E1" s="3" t="inlineStr">
        <is>
          <t>Vendas reajustadas (R$)</t>
        </is>
      </c>
      <c r="F1" s="3" t="inlineStr">
        <is>
          <t>Coorte na obra (R$/mês)</t>
        </is>
      </c>
      <c r="G1" s="3" t="inlineStr">
        <is>
          <t>Recebimentos (R$)</t>
        </is>
      </c>
      <c r="H1" s="3" t="inlineStr">
        <is>
          <t>Obra (R$)</t>
        </is>
      </c>
      <c r="I1" s="3" t="inlineStr">
        <is>
          <t>Banco libera (R$)</t>
        </is>
      </c>
      <c r="J1" s="3" t="inlineStr">
        <is>
          <t>Saldo devedor (R$)</t>
        </is>
      </c>
      <c r="K1" s="3" t="inlineStr">
        <is>
          <t>Amortização (R$)</t>
        </is>
      </c>
      <c r="L1" s="3" t="inlineStr">
        <is>
          <t>Corretagem</t>
        </is>
      </c>
      <c r="M1" s="3" t="inlineStr">
        <is>
          <t>Marketing</t>
        </is>
      </c>
      <c r="N1" s="3" t="inlineStr">
        <is>
          <t>SG&amp;A</t>
        </is>
      </c>
      <c r="O1" s="3" t="inlineStr">
        <is>
          <t>RET</t>
        </is>
      </c>
      <c r="P1" s="3" t="inlineStr">
        <is>
          <t>Outras</t>
        </is>
      </c>
      <c r="Q1" s="3" t="inlineStr">
        <is>
          <t>Líquido (R$)</t>
        </is>
      </c>
      <c r="R1" s="3" t="inlineStr">
        <is>
          <t>Acumulado (R$)</t>
        </is>
      </c>
    </row>
    <row r="2">
      <c r="A2" t="n">
        <v>0</v>
      </c>
      <c r="B2" s="40">
        <f>(1+Premissas!$B$32)^A2</f>
        <v/>
      </c>
      <c r="C2" s="6">
        <f>Premissas!$B$10</f>
        <v/>
      </c>
      <c r="D2" s="6">
        <f>Premissas!$B$10*Premissas!$B$28</f>
        <v/>
      </c>
      <c r="E2" s="6">
        <f>D2*B2</f>
        <v/>
      </c>
      <c r="F2" s="6">
        <f>IF(A2&lt;Premissas!$B$16,E2*Premissas!$B$27*Premissas!$B$30/(Premissas!$B$16-A2),0)</f>
        <v/>
      </c>
      <c r="G2" s="6">
        <f>IF(A2&lt;Premissas!$B$16,SUM($F$2:F2),IF(A2=Premissas!$B$16,SUM($E$2:E1)*Premissas!$B$27*Premissas!$B$31+E2*Premissas!$B$27+Premissas!$B$33,E2*Premissas!$B$27))</f>
        <v/>
      </c>
      <c r="H2" s="6">
        <f>IF(A2&lt;Premissas!$B$16,Premissas!$B$21*INDEX(Premissas!$D$3:$D$38,A2+1)*(1+Premissas!$B$47)^A2,0)</f>
        <v/>
      </c>
      <c r="I2" s="6">
        <f>H2*Premissas!$B$42</f>
        <v/>
      </c>
      <c r="J2" s="6">
        <f>I2</f>
        <v/>
      </c>
      <c r="K2" s="6">
        <f>IF(A2=Premissas!$B$16,J2,0)</f>
        <v/>
      </c>
      <c r="L2" s="6">
        <f>E2*Premissas!$B$35</f>
        <v/>
      </c>
      <c r="M2" s="6">
        <f>IF(A2=0,Premissas!$B$10*Premissas!$B$36*Premissas!$B$37,IF(A2&lt;=Premissas!$B$16,Premissas!$B$10*Premissas!$B$36*(1-Premissas!$B$37)/Premissas!$B$16,0))</f>
        <v/>
      </c>
      <c r="N2" s="6">
        <f>Premissas!$B$10*Premissas!$B$38/57</f>
        <v/>
      </c>
      <c r="O2" s="6">
        <f>G2*Premissas!$B$39</f>
        <v/>
      </c>
      <c r="P2" s="6">
        <f>Premissas!$B$10*Premissas!$B$40/57</f>
        <v/>
      </c>
      <c r="Q2" s="6">
        <f>G2+I2-K2-H2-L2-M2-N2-O2-P2</f>
        <v/>
      </c>
      <c r="R2" s="6">
        <f>Q2</f>
        <v/>
      </c>
    </row>
    <row r="3">
      <c r="A3" t="n">
        <v>1</v>
      </c>
      <c r="B3" s="40">
        <f>(1+Premissas!$B$32)^A3</f>
        <v/>
      </c>
      <c r="C3" s="6">
        <f>C2-D2</f>
        <v/>
      </c>
      <c r="D3" s="6">
        <f>IF(A3&lt;=Premissas!$B$16,C3*Premissas!$B$29,C3/(57-A3))</f>
        <v/>
      </c>
      <c r="E3" s="6">
        <f>D3*B3</f>
        <v/>
      </c>
      <c r="F3" s="6">
        <f>IF(A3&lt;Premissas!$B$16,E3*Premissas!$B$27*Premissas!$B$30/(Premissas!$B$16-A3),0)</f>
        <v/>
      </c>
      <c r="G3" s="6">
        <f>IF(A3&lt;Premissas!$B$16,SUM($F$2:F3),IF(A3=Premissas!$B$16,SUM($E$2:E2)*Premissas!$B$27*Premissas!$B$31+E3*Premissas!$B$27+Premissas!$B$33,E3*Premissas!$B$27))</f>
        <v/>
      </c>
      <c r="H3" s="6">
        <f>IF(A3&lt;Premissas!$B$16,Premissas!$B$21*INDEX(Premissas!$D$3:$D$38,A3+1)*(1+Premissas!$B$47)^A3,0)</f>
        <v/>
      </c>
      <c r="I3" s="6">
        <f>H3*Premissas!$B$42</f>
        <v/>
      </c>
      <c r="J3" s="6">
        <f>IF(A3&lt;=Premissas!$B$16,J2*(1+Premissas!$B$46)+I3,0)</f>
        <v/>
      </c>
      <c r="K3" s="6">
        <f>IF(A3=Premissas!$B$16,J3,0)</f>
        <v/>
      </c>
      <c r="L3" s="6">
        <f>E3*Premissas!$B$35</f>
        <v/>
      </c>
      <c r="M3" s="6">
        <f>IF(A3=0,Premissas!$B$10*Premissas!$B$36*Premissas!$B$37,IF(A3&lt;=Premissas!$B$16,Premissas!$B$10*Premissas!$B$36*(1-Premissas!$B$37)/Premissas!$B$16,0))</f>
        <v/>
      </c>
      <c r="N3" s="6">
        <f>Premissas!$B$10*Premissas!$B$38/57</f>
        <v/>
      </c>
      <c r="O3" s="6">
        <f>G3*Premissas!$B$39</f>
        <v/>
      </c>
      <c r="P3" s="6">
        <f>Premissas!$B$10*Premissas!$B$40/57</f>
        <v/>
      </c>
      <c r="Q3" s="6">
        <f>G3+I3-K3-H3-L3-M3-N3-O3-P3</f>
        <v/>
      </c>
      <c r="R3" s="6">
        <f>R2+Q3</f>
        <v/>
      </c>
    </row>
    <row r="4">
      <c r="A4" t="n">
        <v>2</v>
      </c>
      <c r="B4" s="40">
        <f>(1+Premissas!$B$32)^A4</f>
        <v/>
      </c>
      <c r="C4" s="6">
        <f>C3-D3</f>
        <v/>
      </c>
      <c r="D4" s="6">
        <f>IF(A4&lt;=Premissas!$B$16,C4*Premissas!$B$29,C4/(57-A4))</f>
        <v/>
      </c>
      <c r="E4" s="6">
        <f>D4*B4</f>
        <v/>
      </c>
      <c r="F4" s="6">
        <f>IF(A4&lt;Premissas!$B$16,E4*Premissas!$B$27*Premissas!$B$30/(Premissas!$B$16-A4),0)</f>
        <v/>
      </c>
      <c r="G4" s="6">
        <f>IF(A4&lt;Premissas!$B$16,SUM($F$2:F4),IF(A4=Premissas!$B$16,SUM($E$2:E3)*Premissas!$B$27*Premissas!$B$31+E4*Premissas!$B$27+Premissas!$B$33,E4*Premissas!$B$27))</f>
        <v/>
      </c>
      <c r="H4" s="6">
        <f>IF(A4&lt;Premissas!$B$16,Premissas!$B$21*INDEX(Premissas!$D$3:$D$38,A4+1)*(1+Premissas!$B$47)^A4,0)</f>
        <v/>
      </c>
      <c r="I4" s="6">
        <f>H4*Premissas!$B$42</f>
        <v/>
      </c>
      <c r="J4" s="6">
        <f>IF(A4&lt;=Premissas!$B$16,J3*(1+Premissas!$B$46)+I4,0)</f>
        <v/>
      </c>
      <c r="K4" s="6">
        <f>IF(A4=Premissas!$B$16,J4,0)</f>
        <v/>
      </c>
      <c r="L4" s="6">
        <f>E4*Premissas!$B$35</f>
        <v/>
      </c>
      <c r="M4" s="6">
        <f>IF(A4=0,Premissas!$B$10*Premissas!$B$36*Premissas!$B$37,IF(A4&lt;=Premissas!$B$16,Premissas!$B$10*Premissas!$B$36*(1-Premissas!$B$37)/Premissas!$B$16,0))</f>
        <v/>
      </c>
      <c r="N4" s="6">
        <f>Premissas!$B$10*Premissas!$B$38/57</f>
        <v/>
      </c>
      <c r="O4" s="6">
        <f>G4*Premissas!$B$39</f>
        <v/>
      </c>
      <c r="P4" s="6">
        <f>Premissas!$B$10*Premissas!$B$40/57</f>
        <v/>
      </c>
      <c r="Q4" s="6">
        <f>G4+I4-K4-H4-L4-M4-N4-O4-P4</f>
        <v/>
      </c>
      <c r="R4" s="6">
        <f>R3+Q4</f>
        <v/>
      </c>
    </row>
    <row r="5">
      <c r="A5" t="n">
        <v>3</v>
      </c>
      <c r="B5" s="40">
        <f>(1+Premissas!$B$32)^A5</f>
        <v/>
      </c>
      <c r="C5" s="6">
        <f>C4-D4</f>
        <v/>
      </c>
      <c r="D5" s="6">
        <f>IF(A5&lt;=Premissas!$B$16,C5*Premissas!$B$29,C5/(57-A5))</f>
        <v/>
      </c>
      <c r="E5" s="6">
        <f>D5*B5</f>
        <v/>
      </c>
      <c r="F5" s="6">
        <f>IF(A5&lt;Premissas!$B$16,E5*Premissas!$B$27*Premissas!$B$30/(Premissas!$B$16-A5),0)</f>
        <v/>
      </c>
      <c r="G5" s="6">
        <f>IF(A5&lt;Premissas!$B$16,SUM($F$2:F5),IF(A5=Premissas!$B$16,SUM($E$2:E4)*Premissas!$B$27*Premissas!$B$31+E5*Premissas!$B$27+Premissas!$B$33,E5*Premissas!$B$27))</f>
        <v/>
      </c>
      <c r="H5" s="6">
        <f>IF(A5&lt;Premissas!$B$16,Premissas!$B$21*INDEX(Premissas!$D$3:$D$38,A5+1)*(1+Premissas!$B$47)^A5,0)</f>
        <v/>
      </c>
      <c r="I5" s="6">
        <f>H5*Premissas!$B$42</f>
        <v/>
      </c>
      <c r="J5" s="6">
        <f>IF(A5&lt;=Premissas!$B$16,J4*(1+Premissas!$B$46)+I5,0)</f>
        <v/>
      </c>
      <c r="K5" s="6">
        <f>IF(A5=Premissas!$B$16,J5,0)</f>
        <v/>
      </c>
      <c r="L5" s="6">
        <f>E5*Premissas!$B$35</f>
        <v/>
      </c>
      <c r="M5" s="6">
        <f>IF(A5=0,Premissas!$B$10*Premissas!$B$36*Premissas!$B$37,IF(A5&lt;=Premissas!$B$16,Premissas!$B$10*Premissas!$B$36*(1-Premissas!$B$37)/Premissas!$B$16,0))</f>
        <v/>
      </c>
      <c r="N5" s="6">
        <f>Premissas!$B$10*Premissas!$B$38/57</f>
        <v/>
      </c>
      <c r="O5" s="6">
        <f>G5*Premissas!$B$39</f>
        <v/>
      </c>
      <c r="P5" s="6">
        <f>Premissas!$B$10*Premissas!$B$40/57</f>
        <v/>
      </c>
      <c r="Q5" s="6">
        <f>G5+I5-K5-H5-L5-M5-N5-O5-P5</f>
        <v/>
      </c>
      <c r="R5" s="6">
        <f>R4+Q5</f>
        <v/>
      </c>
    </row>
    <row r="6">
      <c r="A6" t="n">
        <v>4</v>
      </c>
      <c r="B6" s="40">
        <f>(1+Premissas!$B$32)^A6</f>
        <v/>
      </c>
      <c r="C6" s="6">
        <f>C5-D5</f>
        <v/>
      </c>
      <c r="D6" s="6">
        <f>IF(A6&lt;=Premissas!$B$16,C6*Premissas!$B$29,C6/(57-A6))</f>
        <v/>
      </c>
      <c r="E6" s="6">
        <f>D6*B6</f>
        <v/>
      </c>
      <c r="F6" s="6">
        <f>IF(A6&lt;Premissas!$B$16,E6*Premissas!$B$27*Premissas!$B$30/(Premissas!$B$16-A6),0)</f>
        <v/>
      </c>
      <c r="G6" s="6">
        <f>IF(A6&lt;Premissas!$B$16,SUM($F$2:F6),IF(A6=Premissas!$B$16,SUM($E$2:E5)*Premissas!$B$27*Premissas!$B$31+E6*Premissas!$B$27+Premissas!$B$33,E6*Premissas!$B$27))</f>
        <v/>
      </c>
      <c r="H6" s="6">
        <f>IF(A6&lt;Premissas!$B$16,Premissas!$B$21*INDEX(Premissas!$D$3:$D$38,A6+1)*(1+Premissas!$B$47)^A6,0)</f>
        <v/>
      </c>
      <c r="I6" s="6">
        <f>H6*Premissas!$B$42</f>
        <v/>
      </c>
      <c r="J6" s="6">
        <f>IF(A6&lt;=Premissas!$B$16,J5*(1+Premissas!$B$46)+I6,0)</f>
        <v/>
      </c>
      <c r="K6" s="6">
        <f>IF(A6=Premissas!$B$16,J6,0)</f>
        <v/>
      </c>
      <c r="L6" s="6">
        <f>E6*Premissas!$B$35</f>
        <v/>
      </c>
      <c r="M6" s="6">
        <f>IF(A6=0,Premissas!$B$10*Premissas!$B$36*Premissas!$B$37,IF(A6&lt;=Premissas!$B$16,Premissas!$B$10*Premissas!$B$36*(1-Premissas!$B$37)/Premissas!$B$16,0))</f>
        <v/>
      </c>
      <c r="N6" s="6">
        <f>Premissas!$B$10*Premissas!$B$38/57</f>
        <v/>
      </c>
      <c r="O6" s="6">
        <f>G6*Premissas!$B$39</f>
        <v/>
      </c>
      <c r="P6" s="6">
        <f>Premissas!$B$10*Premissas!$B$40/57</f>
        <v/>
      </c>
      <c r="Q6" s="6">
        <f>G6+I6-K6-H6-L6-M6-N6-O6-P6</f>
        <v/>
      </c>
      <c r="R6" s="6">
        <f>R5+Q6</f>
        <v/>
      </c>
    </row>
    <row r="7">
      <c r="A7" t="n">
        <v>5</v>
      </c>
      <c r="B7" s="40">
        <f>(1+Premissas!$B$32)^A7</f>
        <v/>
      </c>
      <c r="C7" s="6">
        <f>C6-D6</f>
        <v/>
      </c>
      <c r="D7" s="6">
        <f>IF(A7&lt;=Premissas!$B$16,C7*Premissas!$B$29,C7/(57-A7))</f>
        <v/>
      </c>
      <c r="E7" s="6">
        <f>D7*B7</f>
        <v/>
      </c>
      <c r="F7" s="6">
        <f>IF(A7&lt;Premissas!$B$16,E7*Premissas!$B$27*Premissas!$B$30/(Premissas!$B$16-A7),0)</f>
        <v/>
      </c>
      <c r="G7" s="6">
        <f>IF(A7&lt;Premissas!$B$16,SUM($F$2:F7),IF(A7=Premissas!$B$16,SUM($E$2:E6)*Premissas!$B$27*Premissas!$B$31+E7*Premissas!$B$27+Premissas!$B$33,E7*Premissas!$B$27))</f>
        <v/>
      </c>
      <c r="H7" s="6">
        <f>IF(A7&lt;Premissas!$B$16,Premissas!$B$21*INDEX(Premissas!$D$3:$D$38,A7+1)*(1+Premissas!$B$47)^A7,0)</f>
        <v/>
      </c>
      <c r="I7" s="6">
        <f>H7*Premissas!$B$42</f>
        <v/>
      </c>
      <c r="J7" s="6">
        <f>IF(A7&lt;=Premissas!$B$16,J6*(1+Premissas!$B$46)+I7,0)</f>
        <v/>
      </c>
      <c r="K7" s="6">
        <f>IF(A7=Premissas!$B$16,J7,0)</f>
        <v/>
      </c>
      <c r="L7" s="6">
        <f>E7*Premissas!$B$35</f>
        <v/>
      </c>
      <c r="M7" s="6">
        <f>IF(A7=0,Premissas!$B$10*Premissas!$B$36*Premissas!$B$37,IF(A7&lt;=Premissas!$B$16,Premissas!$B$10*Premissas!$B$36*(1-Premissas!$B$37)/Premissas!$B$16,0))</f>
        <v/>
      </c>
      <c r="N7" s="6">
        <f>Premissas!$B$10*Premissas!$B$38/57</f>
        <v/>
      </c>
      <c r="O7" s="6">
        <f>G7*Premissas!$B$39</f>
        <v/>
      </c>
      <c r="P7" s="6">
        <f>Premissas!$B$10*Premissas!$B$40/57</f>
        <v/>
      </c>
      <c r="Q7" s="6">
        <f>G7+I7-K7-H7-L7-M7-N7-O7-P7</f>
        <v/>
      </c>
      <c r="R7" s="6">
        <f>R6+Q7</f>
        <v/>
      </c>
    </row>
    <row r="8">
      <c r="A8" t="n">
        <v>6</v>
      </c>
      <c r="B8" s="40">
        <f>(1+Premissas!$B$32)^A8</f>
        <v/>
      </c>
      <c r="C8" s="6">
        <f>C7-D7</f>
        <v/>
      </c>
      <c r="D8" s="6">
        <f>IF(A8&lt;=Premissas!$B$16,C8*Premissas!$B$29,C8/(57-A8))</f>
        <v/>
      </c>
      <c r="E8" s="6">
        <f>D8*B8</f>
        <v/>
      </c>
      <c r="F8" s="6">
        <f>IF(A8&lt;Premissas!$B$16,E8*Premissas!$B$27*Premissas!$B$30/(Premissas!$B$16-A8),0)</f>
        <v/>
      </c>
      <c r="G8" s="6">
        <f>IF(A8&lt;Premissas!$B$16,SUM($F$2:F8),IF(A8=Premissas!$B$16,SUM($E$2:E7)*Premissas!$B$27*Premissas!$B$31+E8*Premissas!$B$27+Premissas!$B$33,E8*Premissas!$B$27))</f>
        <v/>
      </c>
      <c r="H8" s="6">
        <f>IF(A8&lt;Premissas!$B$16,Premissas!$B$21*INDEX(Premissas!$D$3:$D$38,A8+1)*(1+Premissas!$B$47)^A8,0)</f>
        <v/>
      </c>
      <c r="I8" s="6">
        <f>H8*Premissas!$B$42</f>
        <v/>
      </c>
      <c r="J8" s="6">
        <f>IF(A8&lt;=Premissas!$B$16,J7*(1+Premissas!$B$46)+I8,0)</f>
        <v/>
      </c>
      <c r="K8" s="6">
        <f>IF(A8=Premissas!$B$16,J8,0)</f>
        <v/>
      </c>
      <c r="L8" s="6">
        <f>E8*Premissas!$B$35</f>
        <v/>
      </c>
      <c r="M8" s="6">
        <f>IF(A8=0,Premissas!$B$10*Premissas!$B$36*Premissas!$B$37,IF(A8&lt;=Premissas!$B$16,Premissas!$B$10*Premissas!$B$36*(1-Premissas!$B$37)/Premissas!$B$16,0))</f>
        <v/>
      </c>
      <c r="N8" s="6">
        <f>Premissas!$B$10*Premissas!$B$38/57</f>
        <v/>
      </c>
      <c r="O8" s="6">
        <f>G8*Premissas!$B$39</f>
        <v/>
      </c>
      <c r="P8" s="6">
        <f>Premissas!$B$10*Premissas!$B$40/57</f>
        <v/>
      </c>
      <c r="Q8" s="6">
        <f>G8+I8-K8-H8-L8-M8-N8-O8-P8</f>
        <v/>
      </c>
      <c r="R8" s="6">
        <f>R7+Q8</f>
        <v/>
      </c>
    </row>
    <row r="9">
      <c r="A9" t="n">
        <v>7</v>
      </c>
      <c r="B9" s="40">
        <f>(1+Premissas!$B$32)^A9</f>
        <v/>
      </c>
      <c r="C9" s="6">
        <f>C8-D8</f>
        <v/>
      </c>
      <c r="D9" s="6">
        <f>IF(A9&lt;=Premissas!$B$16,C9*Premissas!$B$29,C9/(57-A9))</f>
        <v/>
      </c>
      <c r="E9" s="6">
        <f>D9*B9</f>
        <v/>
      </c>
      <c r="F9" s="6">
        <f>IF(A9&lt;Premissas!$B$16,E9*Premissas!$B$27*Premissas!$B$30/(Premissas!$B$16-A9),0)</f>
        <v/>
      </c>
      <c r="G9" s="6">
        <f>IF(A9&lt;Premissas!$B$16,SUM($F$2:F9),IF(A9=Premissas!$B$16,SUM($E$2:E8)*Premissas!$B$27*Premissas!$B$31+E9*Premissas!$B$27+Premissas!$B$33,E9*Premissas!$B$27))</f>
        <v/>
      </c>
      <c r="H9" s="6">
        <f>IF(A9&lt;Premissas!$B$16,Premissas!$B$21*INDEX(Premissas!$D$3:$D$38,A9+1)*(1+Premissas!$B$47)^A9,0)</f>
        <v/>
      </c>
      <c r="I9" s="6">
        <f>H9*Premissas!$B$42</f>
        <v/>
      </c>
      <c r="J9" s="6">
        <f>IF(A9&lt;=Premissas!$B$16,J8*(1+Premissas!$B$46)+I9,0)</f>
        <v/>
      </c>
      <c r="K9" s="6">
        <f>IF(A9=Premissas!$B$16,J9,0)</f>
        <v/>
      </c>
      <c r="L9" s="6">
        <f>E9*Premissas!$B$35</f>
        <v/>
      </c>
      <c r="M9" s="6">
        <f>IF(A9=0,Premissas!$B$10*Premissas!$B$36*Premissas!$B$37,IF(A9&lt;=Premissas!$B$16,Premissas!$B$10*Premissas!$B$36*(1-Premissas!$B$37)/Premissas!$B$16,0))</f>
        <v/>
      </c>
      <c r="N9" s="6">
        <f>Premissas!$B$10*Premissas!$B$38/57</f>
        <v/>
      </c>
      <c r="O9" s="6">
        <f>G9*Premissas!$B$39</f>
        <v/>
      </c>
      <c r="P9" s="6">
        <f>Premissas!$B$10*Premissas!$B$40/57</f>
        <v/>
      </c>
      <c r="Q9" s="6">
        <f>G9+I9-K9-H9-L9-M9-N9-O9-P9</f>
        <v/>
      </c>
      <c r="R9" s="6">
        <f>R8+Q9</f>
        <v/>
      </c>
    </row>
    <row r="10">
      <c r="A10" t="n">
        <v>8</v>
      </c>
      <c r="B10" s="40">
        <f>(1+Premissas!$B$32)^A10</f>
        <v/>
      </c>
      <c r="C10" s="6">
        <f>C9-D9</f>
        <v/>
      </c>
      <c r="D10" s="6">
        <f>IF(A10&lt;=Premissas!$B$16,C10*Premissas!$B$29,C10/(57-A10))</f>
        <v/>
      </c>
      <c r="E10" s="6">
        <f>D10*B10</f>
        <v/>
      </c>
      <c r="F10" s="6">
        <f>IF(A10&lt;Premissas!$B$16,E10*Premissas!$B$27*Premissas!$B$30/(Premissas!$B$16-A10),0)</f>
        <v/>
      </c>
      <c r="G10" s="6">
        <f>IF(A10&lt;Premissas!$B$16,SUM($F$2:F10),IF(A10=Premissas!$B$16,SUM($E$2:E9)*Premissas!$B$27*Premissas!$B$31+E10*Premissas!$B$27+Premissas!$B$33,E10*Premissas!$B$27))</f>
        <v/>
      </c>
      <c r="H10" s="6">
        <f>IF(A10&lt;Premissas!$B$16,Premissas!$B$21*INDEX(Premissas!$D$3:$D$38,A10+1)*(1+Premissas!$B$47)^A10,0)</f>
        <v/>
      </c>
      <c r="I10" s="6">
        <f>H10*Premissas!$B$42</f>
        <v/>
      </c>
      <c r="J10" s="6">
        <f>IF(A10&lt;=Premissas!$B$16,J9*(1+Premissas!$B$46)+I10,0)</f>
        <v/>
      </c>
      <c r="K10" s="6">
        <f>IF(A10=Premissas!$B$16,J10,0)</f>
        <v/>
      </c>
      <c r="L10" s="6">
        <f>E10*Premissas!$B$35</f>
        <v/>
      </c>
      <c r="M10" s="6">
        <f>IF(A10=0,Premissas!$B$10*Premissas!$B$36*Premissas!$B$37,IF(A10&lt;=Premissas!$B$16,Premissas!$B$10*Premissas!$B$36*(1-Premissas!$B$37)/Premissas!$B$16,0))</f>
        <v/>
      </c>
      <c r="N10" s="6">
        <f>Premissas!$B$10*Premissas!$B$38/57</f>
        <v/>
      </c>
      <c r="O10" s="6">
        <f>G10*Premissas!$B$39</f>
        <v/>
      </c>
      <c r="P10" s="6">
        <f>Premissas!$B$10*Premissas!$B$40/57</f>
        <v/>
      </c>
      <c r="Q10" s="6">
        <f>G10+I10-K10-H10-L10-M10-N10-O10-P10</f>
        <v/>
      </c>
      <c r="R10" s="6">
        <f>R9+Q10</f>
        <v/>
      </c>
    </row>
    <row r="11">
      <c r="A11" t="n">
        <v>9</v>
      </c>
      <c r="B11" s="40">
        <f>(1+Premissas!$B$32)^A11</f>
        <v/>
      </c>
      <c r="C11" s="6">
        <f>C10-D10</f>
        <v/>
      </c>
      <c r="D11" s="6">
        <f>IF(A11&lt;=Premissas!$B$16,C11*Premissas!$B$29,C11/(57-A11))</f>
        <v/>
      </c>
      <c r="E11" s="6">
        <f>D11*B11</f>
        <v/>
      </c>
      <c r="F11" s="6">
        <f>IF(A11&lt;Premissas!$B$16,E11*Premissas!$B$27*Premissas!$B$30/(Premissas!$B$16-A11),0)</f>
        <v/>
      </c>
      <c r="G11" s="6">
        <f>IF(A11&lt;Premissas!$B$16,SUM($F$2:F11),IF(A11=Premissas!$B$16,SUM($E$2:E10)*Premissas!$B$27*Premissas!$B$31+E11*Premissas!$B$27+Premissas!$B$33,E11*Premissas!$B$27))</f>
        <v/>
      </c>
      <c r="H11" s="6">
        <f>IF(A11&lt;Premissas!$B$16,Premissas!$B$21*INDEX(Premissas!$D$3:$D$38,A11+1)*(1+Premissas!$B$47)^A11,0)</f>
        <v/>
      </c>
      <c r="I11" s="6">
        <f>H11*Premissas!$B$42</f>
        <v/>
      </c>
      <c r="J11" s="6">
        <f>IF(A11&lt;=Premissas!$B$16,J10*(1+Premissas!$B$46)+I11,0)</f>
        <v/>
      </c>
      <c r="K11" s="6">
        <f>IF(A11=Premissas!$B$16,J11,0)</f>
        <v/>
      </c>
      <c r="L11" s="6">
        <f>E11*Premissas!$B$35</f>
        <v/>
      </c>
      <c r="M11" s="6">
        <f>IF(A11=0,Premissas!$B$10*Premissas!$B$36*Premissas!$B$37,IF(A11&lt;=Premissas!$B$16,Premissas!$B$10*Premissas!$B$36*(1-Premissas!$B$37)/Premissas!$B$16,0))</f>
        <v/>
      </c>
      <c r="N11" s="6">
        <f>Premissas!$B$10*Premissas!$B$38/57</f>
        <v/>
      </c>
      <c r="O11" s="6">
        <f>G11*Premissas!$B$39</f>
        <v/>
      </c>
      <c r="P11" s="6">
        <f>Premissas!$B$10*Premissas!$B$40/57</f>
        <v/>
      </c>
      <c r="Q11" s="6">
        <f>G11+I11-K11-H11-L11-M11-N11-O11-P11</f>
        <v/>
      </c>
      <c r="R11" s="6">
        <f>R10+Q11</f>
        <v/>
      </c>
    </row>
    <row r="12">
      <c r="A12" t="n">
        <v>10</v>
      </c>
      <c r="B12" s="40">
        <f>(1+Premissas!$B$32)^A12</f>
        <v/>
      </c>
      <c r="C12" s="6">
        <f>C11-D11</f>
        <v/>
      </c>
      <c r="D12" s="6">
        <f>IF(A12&lt;=Premissas!$B$16,C12*Premissas!$B$29,C12/(57-A12))</f>
        <v/>
      </c>
      <c r="E12" s="6">
        <f>D12*B12</f>
        <v/>
      </c>
      <c r="F12" s="6">
        <f>IF(A12&lt;Premissas!$B$16,E12*Premissas!$B$27*Premissas!$B$30/(Premissas!$B$16-A12),0)</f>
        <v/>
      </c>
      <c r="G12" s="6">
        <f>IF(A12&lt;Premissas!$B$16,SUM($F$2:F12),IF(A12=Premissas!$B$16,SUM($E$2:E11)*Premissas!$B$27*Premissas!$B$31+E12*Premissas!$B$27+Premissas!$B$33,E12*Premissas!$B$27))</f>
        <v/>
      </c>
      <c r="H12" s="6">
        <f>IF(A12&lt;Premissas!$B$16,Premissas!$B$21*INDEX(Premissas!$D$3:$D$38,A12+1)*(1+Premissas!$B$47)^A12,0)</f>
        <v/>
      </c>
      <c r="I12" s="6">
        <f>H12*Premissas!$B$42</f>
        <v/>
      </c>
      <c r="J12" s="6">
        <f>IF(A12&lt;=Premissas!$B$16,J11*(1+Premissas!$B$46)+I12,0)</f>
        <v/>
      </c>
      <c r="K12" s="6">
        <f>IF(A12=Premissas!$B$16,J12,0)</f>
        <v/>
      </c>
      <c r="L12" s="6">
        <f>E12*Premissas!$B$35</f>
        <v/>
      </c>
      <c r="M12" s="6">
        <f>IF(A12=0,Premissas!$B$10*Premissas!$B$36*Premissas!$B$37,IF(A12&lt;=Premissas!$B$16,Premissas!$B$10*Premissas!$B$36*(1-Premissas!$B$37)/Premissas!$B$16,0))</f>
        <v/>
      </c>
      <c r="N12" s="6">
        <f>Premissas!$B$10*Premissas!$B$38/57</f>
        <v/>
      </c>
      <c r="O12" s="6">
        <f>G12*Premissas!$B$39</f>
        <v/>
      </c>
      <c r="P12" s="6">
        <f>Premissas!$B$10*Premissas!$B$40/57</f>
        <v/>
      </c>
      <c r="Q12" s="6">
        <f>G12+I12-K12-H12-L12-M12-N12-O12-P12</f>
        <v/>
      </c>
      <c r="R12" s="6">
        <f>R11+Q12</f>
        <v/>
      </c>
    </row>
    <row r="13">
      <c r="A13" t="n">
        <v>11</v>
      </c>
      <c r="B13" s="40">
        <f>(1+Premissas!$B$32)^A13</f>
        <v/>
      </c>
      <c r="C13" s="6">
        <f>C12-D12</f>
        <v/>
      </c>
      <c r="D13" s="6">
        <f>IF(A13&lt;=Premissas!$B$16,C13*Premissas!$B$29,C13/(57-A13))</f>
        <v/>
      </c>
      <c r="E13" s="6">
        <f>D13*B13</f>
        <v/>
      </c>
      <c r="F13" s="6">
        <f>IF(A13&lt;Premissas!$B$16,E13*Premissas!$B$27*Premissas!$B$30/(Premissas!$B$16-A13),0)</f>
        <v/>
      </c>
      <c r="G13" s="6">
        <f>IF(A13&lt;Premissas!$B$16,SUM($F$2:F13),IF(A13=Premissas!$B$16,SUM($E$2:E12)*Premissas!$B$27*Premissas!$B$31+E13*Premissas!$B$27+Premissas!$B$33,E13*Premissas!$B$27))</f>
        <v/>
      </c>
      <c r="H13" s="6">
        <f>IF(A13&lt;Premissas!$B$16,Premissas!$B$21*INDEX(Premissas!$D$3:$D$38,A13+1)*(1+Premissas!$B$47)^A13,0)</f>
        <v/>
      </c>
      <c r="I13" s="6">
        <f>H13*Premissas!$B$42</f>
        <v/>
      </c>
      <c r="J13" s="6">
        <f>IF(A13&lt;=Premissas!$B$16,J12*(1+Premissas!$B$46)+I13,0)</f>
        <v/>
      </c>
      <c r="K13" s="6">
        <f>IF(A13=Premissas!$B$16,J13,0)</f>
        <v/>
      </c>
      <c r="L13" s="6">
        <f>E13*Premissas!$B$35</f>
        <v/>
      </c>
      <c r="M13" s="6">
        <f>IF(A13=0,Premissas!$B$10*Premissas!$B$36*Premissas!$B$37,IF(A13&lt;=Premissas!$B$16,Premissas!$B$10*Premissas!$B$36*(1-Premissas!$B$37)/Premissas!$B$16,0))</f>
        <v/>
      </c>
      <c r="N13" s="6">
        <f>Premissas!$B$10*Premissas!$B$38/57</f>
        <v/>
      </c>
      <c r="O13" s="6">
        <f>G13*Premissas!$B$39</f>
        <v/>
      </c>
      <c r="P13" s="6">
        <f>Premissas!$B$10*Premissas!$B$40/57</f>
        <v/>
      </c>
      <c r="Q13" s="6">
        <f>G13+I13-K13-H13-L13-M13-N13-O13-P13</f>
        <v/>
      </c>
      <c r="R13" s="6">
        <f>R12+Q13</f>
        <v/>
      </c>
    </row>
    <row r="14">
      <c r="A14" t="n">
        <v>12</v>
      </c>
      <c r="B14" s="40">
        <f>(1+Premissas!$B$32)^A14</f>
        <v/>
      </c>
      <c r="C14" s="6">
        <f>C13-D13</f>
        <v/>
      </c>
      <c r="D14" s="6">
        <f>IF(A14&lt;=Premissas!$B$16,C14*Premissas!$B$29,C14/(57-A14))</f>
        <v/>
      </c>
      <c r="E14" s="6">
        <f>D14*B14</f>
        <v/>
      </c>
      <c r="F14" s="6">
        <f>IF(A14&lt;Premissas!$B$16,E14*Premissas!$B$27*Premissas!$B$30/(Premissas!$B$16-A14),0)</f>
        <v/>
      </c>
      <c r="G14" s="6">
        <f>IF(A14&lt;Premissas!$B$16,SUM($F$2:F14),IF(A14=Premissas!$B$16,SUM($E$2:E13)*Premissas!$B$27*Premissas!$B$31+E14*Premissas!$B$27+Premissas!$B$33,E14*Premissas!$B$27))</f>
        <v/>
      </c>
      <c r="H14" s="6">
        <f>IF(A14&lt;Premissas!$B$16,Premissas!$B$21*INDEX(Premissas!$D$3:$D$38,A14+1)*(1+Premissas!$B$47)^A14,0)</f>
        <v/>
      </c>
      <c r="I14" s="6">
        <f>H14*Premissas!$B$42</f>
        <v/>
      </c>
      <c r="J14" s="6">
        <f>IF(A14&lt;=Premissas!$B$16,J13*(1+Premissas!$B$46)+I14,0)</f>
        <v/>
      </c>
      <c r="K14" s="6">
        <f>IF(A14=Premissas!$B$16,J14,0)</f>
        <v/>
      </c>
      <c r="L14" s="6">
        <f>E14*Premissas!$B$35</f>
        <v/>
      </c>
      <c r="M14" s="6">
        <f>IF(A14=0,Premissas!$B$10*Premissas!$B$36*Premissas!$B$37,IF(A14&lt;=Premissas!$B$16,Premissas!$B$10*Premissas!$B$36*(1-Premissas!$B$37)/Premissas!$B$16,0))</f>
        <v/>
      </c>
      <c r="N14" s="6">
        <f>Premissas!$B$10*Premissas!$B$38/57</f>
        <v/>
      </c>
      <c r="O14" s="6">
        <f>G14*Premissas!$B$39</f>
        <v/>
      </c>
      <c r="P14" s="6">
        <f>Premissas!$B$10*Premissas!$B$40/57</f>
        <v/>
      </c>
      <c r="Q14" s="6">
        <f>G14+I14-K14-H14-L14-M14-N14-O14-P14</f>
        <v/>
      </c>
      <c r="R14" s="6">
        <f>R13+Q14</f>
        <v/>
      </c>
    </row>
    <row r="15">
      <c r="A15" t="n">
        <v>13</v>
      </c>
      <c r="B15" s="40">
        <f>(1+Premissas!$B$32)^A15</f>
        <v/>
      </c>
      <c r="C15" s="6">
        <f>C14-D14</f>
        <v/>
      </c>
      <c r="D15" s="6">
        <f>IF(A15&lt;=Premissas!$B$16,C15*Premissas!$B$29,C15/(57-A15))</f>
        <v/>
      </c>
      <c r="E15" s="6">
        <f>D15*B15</f>
        <v/>
      </c>
      <c r="F15" s="6">
        <f>IF(A15&lt;Premissas!$B$16,E15*Premissas!$B$27*Premissas!$B$30/(Premissas!$B$16-A15),0)</f>
        <v/>
      </c>
      <c r="G15" s="6">
        <f>IF(A15&lt;Premissas!$B$16,SUM($F$2:F15),IF(A15=Premissas!$B$16,SUM($E$2:E14)*Premissas!$B$27*Premissas!$B$31+E15*Premissas!$B$27+Premissas!$B$33,E15*Premissas!$B$27))</f>
        <v/>
      </c>
      <c r="H15" s="6">
        <f>IF(A15&lt;Premissas!$B$16,Premissas!$B$21*INDEX(Premissas!$D$3:$D$38,A15+1)*(1+Premissas!$B$47)^A15,0)</f>
        <v/>
      </c>
      <c r="I15" s="6">
        <f>H15*Premissas!$B$42</f>
        <v/>
      </c>
      <c r="J15" s="6">
        <f>IF(A15&lt;=Premissas!$B$16,J14*(1+Premissas!$B$46)+I15,0)</f>
        <v/>
      </c>
      <c r="K15" s="6">
        <f>IF(A15=Premissas!$B$16,J15,0)</f>
        <v/>
      </c>
      <c r="L15" s="6">
        <f>E15*Premissas!$B$35</f>
        <v/>
      </c>
      <c r="M15" s="6">
        <f>IF(A15=0,Premissas!$B$10*Premissas!$B$36*Premissas!$B$37,IF(A15&lt;=Premissas!$B$16,Premissas!$B$10*Premissas!$B$36*(1-Premissas!$B$37)/Premissas!$B$16,0))</f>
        <v/>
      </c>
      <c r="N15" s="6">
        <f>Premissas!$B$10*Premissas!$B$38/57</f>
        <v/>
      </c>
      <c r="O15" s="6">
        <f>G15*Premissas!$B$39</f>
        <v/>
      </c>
      <c r="P15" s="6">
        <f>Premissas!$B$10*Premissas!$B$40/57</f>
        <v/>
      </c>
      <c r="Q15" s="6">
        <f>G15+I15-K15-H15-L15-M15-N15-O15-P15</f>
        <v/>
      </c>
      <c r="R15" s="6">
        <f>R14+Q15</f>
        <v/>
      </c>
    </row>
    <row r="16">
      <c r="A16" t="n">
        <v>14</v>
      </c>
      <c r="B16" s="40">
        <f>(1+Premissas!$B$32)^A16</f>
        <v/>
      </c>
      <c r="C16" s="6">
        <f>C15-D15</f>
        <v/>
      </c>
      <c r="D16" s="6">
        <f>IF(A16&lt;=Premissas!$B$16,C16*Premissas!$B$29,C16/(57-A16))</f>
        <v/>
      </c>
      <c r="E16" s="6">
        <f>D16*B16</f>
        <v/>
      </c>
      <c r="F16" s="6">
        <f>IF(A16&lt;Premissas!$B$16,E16*Premissas!$B$27*Premissas!$B$30/(Premissas!$B$16-A16),0)</f>
        <v/>
      </c>
      <c r="G16" s="6">
        <f>IF(A16&lt;Premissas!$B$16,SUM($F$2:F16),IF(A16=Premissas!$B$16,SUM($E$2:E15)*Premissas!$B$27*Premissas!$B$31+E16*Premissas!$B$27+Premissas!$B$33,E16*Premissas!$B$27))</f>
        <v/>
      </c>
      <c r="H16" s="6">
        <f>IF(A16&lt;Premissas!$B$16,Premissas!$B$21*INDEX(Premissas!$D$3:$D$38,A16+1)*(1+Premissas!$B$47)^A16,0)</f>
        <v/>
      </c>
      <c r="I16" s="6">
        <f>H16*Premissas!$B$42</f>
        <v/>
      </c>
      <c r="J16" s="6">
        <f>IF(A16&lt;=Premissas!$B$16,J15*(1+Premissas!$B$46)+I16,0)</f>
        <v/>
      </c>
      <c r="K16" s="6">
        <f>IF(A16=Premissas!$B$16,J16,0)</f>
        <v/>
      </c>
      <c r="L16" s="6">
        <f>E16*Premissas!$B$35</f>
        <v/>
      </c>
      <c r="M16" s="6">
        <f>IF(A16=0,Premissas!$B$10*Premissas!$B$36*Premissas!$B$37,IF(A16&lt;=Premissas!$B$16,Premissas!$B$10*Premissas!$B$36*(1-Premissas!$B$37)/Premissas!$B$16,0))</f>
        <v/>
      </c>
      <c r="N16" s="6">
        <f>Premissas!$B$10*Premissas!$B$38/57</f>
        <v/>
      </c>
      <c r="O16" s="6">
        <f>G16*Premissas!$B$39</f>
        <v/>
      </c>
      <c r="P16" s="6">
        <f>Premissas!$B$10*Premissas!$B$40/57</f>
        <v/>
      </c>
      <c r="Q16" s="6">
        <f>G16+I16-K16-H16-L16-M16-N16-O16-P16</f>
        <v/>
      </c>
      <c r="R16" s="6">
        <f>R15+Q16</f>
        <v/>
      </c>
    </row>
    <row r="17">
      <c r="A17" t="n">
        <v>15</v>
      </c>
      <c r="B17" s="40">
        <f>(1+Premissas!$B$32)^A17</f>
        <v/>
      </c>
      <c r="C17" s="6">
        <f>C16-D16</f>
        <v/>
      </c>
      <c r="D17" s="6">
        <f>IF(A17&lt;=Premissas!$B$16,C17*Premissas!$B$29,C17/(57-A17))</f>
        <v/>
      </c>
      <c r="E17" s="6">
        <f>D17*B17</f>
        <v/>
      </c>
      <c r="F17" s="6">
        <f>IF(A17&lt;Premissas!$B$16,E17*Premissas!$B$27*Premissas!$B$30/(Premissas!$B$16-A17),0)</f>
        <v/>
      </c>
      <c r="G17" s="6">
        <f>IF(A17&lt;Premissas!$B$16,SUM($F$2:F17),IF(A17=Premissas!$B$16,SUM($E$2:E16)*Premissas!$B$27*Premissas!$B$31+E17*Premissas!$B$27+Premissas!$B$33,E17*Premissas!$B$27))</f>
        <v/>
      </c>
      <c r="H17" s="6">
        <f>IF(A17&lt;Premissas!$B$16,Premissas!$B$21*INDEX(Premissas!$D$3:$D$38,A17+1)*(1+Premissas!$B$47)^A17,0)</f>
        <v/>
      </c>
      <c r="I17" s="6">
        <f>H17*Premissas!$B$42</f>
        <v/>
      </c>
      <c r="J17" s="6">
        <f>IF(A17&lt;=Premissas!$B$16,J16*(1+Premissas!$B$46)+I17,0)</f>
        <v/>
      </c>
      <c r="K17" s="6">
        <f>IF(A17=Premissas!$B$16,J17,0)</f>
        <v/>
      </c>
      <c r="L17" s="6">
        <f>E17*Premissas!$B$35</f>
        <v/>
      </c>
      <c r="M17" s="6">
        <f>IF(A17=0,Premissas!$B$10*Premissas!$B$36*Premissas!$B$37,IF(A17&lt;=Premissas!$B$16,Premissas!$B$10*Premissas!$B$36*(1-Premissas!$B$37)/Premissas!$B$16,0))</f>
        <v/>
      </c>
      <c r="N17" s="6">
        <f>Premissas!$B$10*Premissas!$B$38/57</f>
        <v/>
      </c>
      <c r="O17" s="6">
        <f>G17*Premissas!$B$39</f>
        <v/>
      </c>
      <c r="P17" s="6">
        <f>Premissas!$B$10*Premissas!$B$40/57</f>
        <v/>
      </c>
      <c r="Q17" s="6">
        <f>G17+I17-K17-H17-L17-M17-N17-O17-P17</f>
        <v/>
      </c>
      <c r="R17" s="6">
        <f>R16+Q17</f>
        <v/>
      </c>
    </row>
    <row r="18">
      <c r="A18" t="n">
        <v>16</v>
      </c>
      <c r="B18" s="40">
        <f>(1+Premissas!$B$32)^A18</f>
        <v/>
      </c>
      <c r="C18" s="6">
        <f>C17-D17</f>
        <v/>
      </c>
      <c r="D18" s="6">
        <f>IF(A18&lt;=Premissas!$B$16,C18*Premissas!$B$29,C18/(57-A18))</f>
        <v/>
      </c>
      <c r="E18" s="6">
        <f>D18*B18</f>
        <v/>
      </c>
      <c r="F18" s="6">
        <f>IF(A18&lt;Premissas!$B$16,E18*Premissas!$B$27*Premissas!$B$30/(Premissas!$B$16-A18),0)</f>
        <v/>
      </c>
      <c r="G18" s="6">
        <f>IF(A18&lt;Premissas!$B$16,SUM($F$2:F18),IF(A18=Premissas!$B$16,SUM($E$2:E17)*Premissas!$B$27*Premissas!$B$31+E18*Premissas!$B$27+Premissas!$B$33,E18*Premissas!$B$27))</f>
        <v/>
      </c>
      <c r="H18" s="6">
        <f>IF(A18&lt;Premissas!$B$16,Premissas!$B$21*INDEX(Premissas!$D$3:$D$38,A18+1)*(1+Premissas!$B$47)^A18,0)</f>
        <v/>
      </c>
      <c r="I18" s="6">
        <f>H18*Premissas!$B$42</f>
        <v/>
      </c>
      <c r="J18" s="6">
        <f>IF(A18&lt;=Premissas!$B$16,J17*(1+Premissas!$B$46)+I18,0)</f>
        <v/>
      </c>
      <c r="K18" s="6">
        <f>IF(A18=Premissas!$B$16,J18,0)</f>
        <v/>
      </c>
      <c r="L18" s="6">
        <f>E18*Premissas!$B$35</f>
        <v/>
      </c>
      <c r="M18" s="6">
        <f>IF(A18=0,Premissas!$B$10*Premissas!$B$36*Premissas!$B$37,IF(A18&lt;=Premissas!$B$16,Premissas!$B$10*Premissas!$B$36*(1-Premissas!$B$37)/Premissas!$B$16,0))</f>
        <v/>
      </c>
      <c r="N18" s="6">
        <f>Premissas!$B$10*Premissas!$B$38/57</f>
        <v/>
      </c>
      <c r="O18" s="6">
        <f>G18*Premissas!$B$39</f>
        <v/>
      </c>
      <c r="P18" s="6">
        <f>Premissas!$B$10*Premissas!$B$40/57</f>
        <v/>
      </c>
      <c r="Q18" s="6">
        <f>G18+I18-K18-H18-L18-M18-N18-O18-P18</f>
        <v/>
      </c>
      <c r="R18" s="6">
        <f>R17+Q18</f>
        <v/>
      </c>
    </row>
    <row r="19">
      <c r="A19" t="n">
        <v>17</v>
      </c>
      <c r="B19" s="40">
        <f>(1+Premissas!$B$32)^A19</f>
        <v/>
      </c>
      <c r="C19" s="6">
        <f>C18-D18</f>
        <v/>
      </c>
      <c r="D19" s="6">
        <f>IF(A19&lt;=Premissas!$B$16,C19*Premissas!$B$29,C19/(57-A19))</f>
        <v/>
      </c>
      <c r="E19" s="6">
        <f>D19*B19</f>
        <v/>
      </c>
      <c r="F19" s="6">
        <f>IF(A19&lt;Premissas!$B$16,E19*Premissas!$B$27*Premissas!$B$30/(Premissas!$B$16-A19),0)</f>
        <v/>
      </c>
      <c r="G19" s="6">
        <f>IF(A19&lt;Premissas!$B$16,SUM($F$2:F19),IF(A19=Premissas!$B$16,SUM($E$2:E18)*Premissas!$B$27*Premissas!$B$31+E19*Premissas!$B$27+Premissas!$B$33,E19*Premissas!$B$27))</f>
        <v/>
      </c>
      <c r="H19" s="6">
        <f>IF(A19&lt;Premissas!$B$16,Premissas!$B$21*INDEX(Premissas!$D$3:$D$38,A19+1)*(1+Premissas!$B$47)^A19,0)</f>
        <v/>
      </c>
      <c r="I19" s="6">
        <f>H19*Premissas!$B$42</f>
        <v/>
      </c>
      <c r="J19" s="6">
        <f>IF(A19&lt;=Premissas!$B$16,J18*(1+Premissas!$B$46)+I19,0)</f>
        <v/>
      </c>
      <c r="K19" s="6">
        <f>IF(A19=Premissas!$B$16,J19,0)</f>
        <v/>
      </c>
      <c r="L19" s="6">
        <f>E19*Premissas!$B$35</f>
        <v/>
      </c>
      <c r="M19" s="6">
        <f>IF(A19=0,Premissas!$B$10*Premissas!$B$36*Premissas!$B$37,IF(A19&lt;=Premissas!$B$16,Premissas!$B$10*Premissas!$B$36*(1-Premissas!$B$37)/Premissas!$B$16,0))</f>
        <v/>
      </c>
      <c r="N19" s="6">
        <f>Premissas!$B$10*Premissas!$B$38/57</f>
        <v/>
      </c>
      <c r="O19" s="6">
        <f>G19*Premissas!$B$39</f>
        <v/>
      </c>
      <c r="P19" s="6">
        <f>Premissas!$B$10*Premissas!$B$40/57</f>
        <v/>
      </c>
      <c r="Q19" s="6">
        <f>G19+I19-K19-H19-L19-M19-N19-O19-P19</f>
        <v/>
      </c>
      <c r="R19" s="6">
        <f>R18+Q19</f>
        <v/>
      </c>
    </row>
    <row r="20">
      <c r="A20" t="n">
        <v>18</v>
      </c>
      <c r="B20" s="40">
        <f>(1+Premissas!$B$32)^A20</f>
        <v/>
      </c>
      <c r="C20" s="6">
        <f>C19-D19</f>
        <v/>
      </c>
      <c r="D20" s="6">
        <f>IF(A20&lt;=Premissas!$B$16,C20*Premissas!$B$29,C20/(57-A20))</f>
        <v/>
      </c>
      <c r="E20" s="6">
        <f>D20*B20</f>
        <v/>
      </c>
      <c r="F20" s="6">
        <f>IF(A20&lt;Premissas!$B$16,E20*Premissas!$B$27*Premissas!$B$30/(Premissas!$B$16-A20),0)</f>
        <v/>
      </c>
      <c r="G20" s="6">
        <f>IF(A20&lt;Premissas!$B$16,SUM($F$2:F20),IF(A20=Premissas!$B$16,SUM($E$2:E19)*Premissas!$B$27*Premissas!$B$31+E20*Premissas!$B$27+Premissas!$B$33,E20*Premissas!$B$27))</f>
        <v/>
      </c>
      <c r="H20" s="6">
        <f>IF(A20&lt;Premissas!$B$16,Premissas!$B$21*INDEX(Premissas!$D$3:$D$38,A20+1)*(1+Premissas!$B$47)^A20,0)</f>
        <v/>
      </c>
      <c r="I20" s="6">
        <f>H20*Premissas!$B$42</f>
        <v/>
      </c>
      <c r="J20" s="6">
        <f>IF(A20&lt;=Premissas!$B$16,J19*(1+Premissas!$B$46)+I20,0)</f>
        <v/>
      </c>
      <c r="K20" s="6">
        <f>IF(A20=Premissas!$B$16,J20,0)</f>
        <v/>
      </c>
      <c r="L20" s="6">
        <f>E20*Premissas!$B$35</f>
        <v/>
      </c>
      <c r="M20" s="6">
        <f>IF(A20=0,Premissas!$B$10*Premissas!$B$36*Premissas!$B$37,IF(A20&lt;=Premissas!$B$16,Premissas!$B$10*Premissas!$B$36*(1-Premissas!$B$37)/Premissas!$B$16,0))</f>
        <v/>
      </c>
      <c r="N20" s="6">
        <f>Premissas!$B$10*Premissas!$B$38/57</f>
        <v/>
      </c>
      <c r="O20" s="6">
        <f>G20*Premissas!$B$39</f>
        <v/>
      </c>
      <c r="P20" s="6">
        <f>Premissas!$B$10*Premissas!$B$40/57</f>
        <v/>
      </c>
      <c r="Q20" s="6">
        <f>G20+I20-K20-H20-L20-M20-N20-O20-P20</f>
        <v/>
      </c>
      <c r="R20" s="6">
        <f>R19+Q20</f>
        <v/>
      </c>
    </row>
    <row r="21">
      <c r="A21" t="n">
        <v>19</v>
      </c>
      <c r="B21" s="40">
        <f>(1+Premissas!$B$32)^A21</f>
        <v/>
      </c>
      <c r="C21" s="6">
        <f>C20-D20</f>
        <v/>
      </c>
      <c r="D21" s="6">
        <f>IF(A21&lt;=Premissas!$B$16,C21*Premissas!$B$29,C21/(57-A21))</f>
        <v/>
      </c>
      <c r="E21" s="6">
        <f>D21*B21</f>
        <v/>
      </c>
      <c r="F21" s="6">
        <f>IF(A21&lt;Premissas!$B$16,E21*Premissas!$B$27*Premissas!$B$30/(Premissas!$B$16-A21),0)</f>
        <v/>
      </c>
      <c r="G21" s="6">
        <f>IF(A21&lt;Premissas!$B$16,SUM($F$2:F21),IF(A21=Premissas!$B$16,SUM($E$2:E20)*Premissas!$B$27*Premissas!$B$31+E21*Premissas!$B$27+Premissas!$B$33,E21*Premissas!$B$27))</f>
        <v/>
      </c>
      <c r="H21" s="6">
        <f>IF(A21&lt;Premissas!$B$16,Premissas!$B$21*INDEX(Premissas!$D$3:$D$38,A21+1)*(1+Premissas!$B$47)^A21,0)</f>
        <v/>
      </c>
      <c r="I21" s="6">
        <f>H21*Premissas!$B$42</f>
        <v/>
      </c>
      <c r="J21" s="6">
        <f>IF(A21&lt;=Premissas!$B$16,J20*(1+Premissas!$B$46)+I21,0)</f>
        <v/>
      </c>
      <c r="K21" s="6">
        <f>IF(A21=Premissas!$B$16,J21,0)</f>
        <v/>
      </c>
      <c r="L21" s="6">
        <f>E21*Premissas!$B$35</f>
        <v/>
      </c>
      <c r="M21" s="6">
        <f>IF(A21=0,Premissas!$B$10*Premissas!$B$36*Premissas!$B$37,IF(A21&lt;=Premissas!$B$16,Premissas!$B$10*Premissas!$B$36*(1-Premissas!$B$37)/Premissas!$B$16,0))</f>
        <v/>
      </c>
      <c r="N21" s="6">
        <f>Premissas!$B$10*Premissas!$B$38/57</f>
        <v/>
      </c>
      <c r="O21" s="6">
        <f>G21*Premissas!$B$39</f>
        <v/>
      </c>
      <c r="P21" s="6">
        <f>Premissas!$B$10*Premissas!$B$40/57</f>
        <v/>
      </c>
      <c r="Q21" s="6">
        <f>G21+I21-K21-H21-L21-M21-N21-O21-P21</f>
        <v/>
      </c>
      <c r="R21" s="6">
        <f>R20+Q21</f>
        <v/>
      </c>
    </row>
    <row r="22">
      <c r="A22" t="n">
        <v>20</v>
      </c>
      <c r="B22" s="40">
        <f>(1+Premissas!$B$32)^A22</f>
        <v/>
      </c>
      <c r="C22" s="6">
        <f>C21-D21</f>
        <v/>
      </c>
      <c r="D22" s="6">
        <f>IF(A22&lt;=Premissas!$B$16,C22*Premissas!$B$29,C22/(57-A22))</f>
        <v/>
      </c>
      <c r="E22" s="6">
        <f>D22*B22</f>
        <v/>
      </c>
      <c r="F22" s="6">
        <f>IF(A22&lt;Premissas!$B$16,E22*Premissas!$B$27*Premissas!$B$30/(Premissas!$B$16-A22),0)</f>
        <v/>
      </c>
      <c r="G22" s="6">
        <f>IF(A22&lt;Premissas!$B$16,SUM($F$2:F22),IF(A22=Premissas!$B$16,SUM($E$2:E21)*Premissas!$B$27*Premissas!$B$31+E22*Premissas!$B$27+Premissas!$B$33,E22*Premissas!$B$27))</f>
        <v/>
      </c>
      <c r="H22" s="6">
        <f>IF(A22&lt;Premissas!$B$16,Premissas!$B$21*INDEX(Premissas!$D$3:$D$38,A22+1)*(1+Premissas!$B$47)^A22,0)</f>
        <v/>
      </c>
      <c r="I22" s="6">
        <f>H22*Premissas!$B$42</f>
        <v/>
      </c>
      <c r="J22" s="6">
        <f>IF(A22&lt;=Premissas!$B$16,J21*(1+Premissas!$B$46)+I22,0)</f>
        <v/>
      </c>
      <c r="K22" s="6">
        <f>IF(A22=Premissas!$B$16,J22,0)</f>
        <v/>
      </c>
      <c r="L22" s="6">
        <f>E22*Premissas!$B$35</f>
        <v/>
      </c>
      <c r="M22" s="6">
        <f>IF(A22=0,Premissas!$B$10*Premissas!$B$36*Premissas!$B$37,IF(A22&lt;=Premissas!$B$16,Premissas!$B$10*Premissas!$B$36*(1-Premissas!$B$37)/Premissas!$B$16,0))</f>
        <v/>
      </c>
      <c r="N22" s="6">
        <f>Premissas!$B$10*Premissas!$B$38/57</f>
        <v/>
      </c>
      <c r="O22" s="6">
        <f>G22*Premissas!$B$39</f>
        <v/>
      </c>
      <c r="P22" s="6">
        <f>Premissas!$B$10*Premissas!$B$40/57</f>
        <v/>
      </c>
      <c r="Q22" s="6">
        <f>G22+I22-K22-H22-L22-M22-N22-O22-P22</f>
        <v/>
      </c>
      <c r="R22" s="6">
        <f>R21+Q22</f>
        <v/>
      </c>
    </row>
    <row r="23">
      <c r="A23" t="n">
        <v>21</v>
      </c>
      <c r="B23" s="40">
        <f>(1+Premissas!$B$32)^A23</f>
        <v/>
      </c>
      <c r="C23" s="6">
        <f>C22-D22</f>
        <v/>
      </c>
      <c r="D23" s="6">
        <f>IF(A23&lt;=Premissas!$B$16,C23*Premissas!$B$29,C23/(57-A23))</f>
        <v/>
      </c>
      <c r="E23" s="6">
        <f>D23*B23</f>
        <v/>
      </c>
      <c r="F23" s="6">
        <f>IF(A23&lt;Premissas!$B$16,E23*Premissas!$B$27*Premissas!$B$30/(Premissas!$B$16-A23),0)</f>
        <v/>
      </c>
      <c r="G23" s="6">
        <f>IF(A23&lt;Premissas!$B$16,SUM($F$2:F23),IF(A23=Premissas!$B$16,SUM($E$2:E22)*Premissas!$B$27*Premissas!$B$31+E23*Premissas!$B$27+Premissas!$B$33,E23*Premissas!$B$27))</f>
        <v/>
      </c>
      <c r="H23" s="6">
        <f>IF(A23&lt;Premissas!$B$16,Premissas!$B$21*INDEX(Premissas!$D$3:$D$38,A23+1)*(1+Premissas!$B$47)^A23,0)</f>
        <v/>
      </c>
      <c r="I23" s="6">
        <f>H23*Premissas!$B$42</f>
        <v/>
      </c>
      <c r="J23" s="6">
        <f>IF(A23&lt;=Premissas!$B$16,J22*(1+Premissas!$B$46)+I23,0)</f>
        <v/>
      </c>
      <c r="K23" s="6">
        <f>IF(A23=Premissas!$B$16,J23,0)</f>
        <v/>
      </c>
      <c r="L23" s="6">
        <f>E23*Premissas!$B$35</f>
        <v/>
      </c>
      <c r="M23" s="6">
        <f>IF(A23=0,Premissas!$B$10*Premissas!$B$36*Premissas!$B$37,IF(A23&lt;=Premissas!$B$16,Premissas!$B$10*Premissas!$B$36*(1-Premissas!$B$37)/Premissas!$B$16,0))</f>
        <v/>
      </c>
      <c r="N23" s="6">
        <f>Premissas!$B$10*Premissas!$B$38/57</f>
        <v/>
      </c>
      <c r="O23" s="6">
        <f>G23*Premissas!$B$39</f>
        <v/>
      </c>
      <c r="P23" s="6">
        <f>Premissas!$B$10*Premissas!$B$40/57</f>
        <v/>
      </c>
      <c r="Q23" s="6">
        <f>G23+I23-K23-H23-L23-M23-N23-O23-P23</f>
        <v/>
      </c>
      <c r="R23" s="6">
        <f>R22+Q23</f>
        <v/>
      </c>
    </row>
    <row r="24">
      <c r="A24" t="n">
        <v>22</v>
      </c>
      <c r="B24" s="40">
        <f>(1+Premissas!$B$32)^A24</f>
        <v/>
      </c>
      <c r="C24" s="6">
        <f>C23-D23</f>
        <v/>
      </c>
      <c r="D24" s="6">
        <f>IF(A24&lt;=Premissas!$B$16,C24*Premissas!$B$29,C24/(57-A24))</f>
        <v/>
      </c>
      <c r="E24" s="6">
        <f>D24*B24</f>
        <v/>
      </c>
      <c r="F24" s="6">
        <f>IF(A24&lt;Premissas!$B$16,E24*Premissas!$B$27*Premissas!$B$30/(Premissas!$B$16-A24),0)</f>
        <v/>
      </c>
      <c r="G24" s="6">
        <f>IF(A24&lt;Premissas!$B$16,SUM($F$2:F24),IF(A24=Premissas!$B$16,SUM($E$2:E23)*Premissas!$B$27*Premissas!$B$31+E24*Premissas!$B$27+Premissas!$B$33,E24*Premissas!$B$27))</f>
        <v/>
      </c>
      <c r="H24" s="6">
        <f>IF(A24&lt;Premissas!$B$16,Premissas!$B$21*INDEX(Premissas!$D$3:$D$38,A24+1)*(1+Premissas!$B$47)^A24,0)</f>
        <v/>
      </c>
      <c r="I24" s="6">
        <f>H24*Premissas!$B$42</f>
        <v/>
      </c>
      <c r="J24" s="6">
        <f>IF(A24&lt;=Premissas!$B$16,J23*(1+Premissas!$B$46)+I24,0)</f>
        <v/>
      </c>
      <c r="K24" s="6">
        <f>IF(A24=Premissas!$B$16,J24,0)</f>
        <v/>
      </c>
      <c r="L24" s="6">
        <f>E24*Premissas!$B$35</f>
        <v/>
      </c>
      <c r="M24" s="6">
        <f>IF(A24=0,Premissas!$B$10*Premissas!$B$36*Premissas!$B$37,IF(A24&lt;=Premissas!$B$16,Premissas!$B$10*Premissas!$B$36*(1-Premissas!$B$37)/Premissas!$B$16,0))</f>
        <v/>
      </c>
      <c r="N24" s="6">
        <f>Premissas!$B$10*Premissas!$B$38/57</f>
        <v/>
      </c>
      <c r="O24" s="6">
        <f>G24*Premissas!$B$39</f>
        <v/>
      </c>
      <c r="P24" s="6">
        <f>Premissas!$B$10*Premissas!$B$40/57</f>
        <v/>
      </c>
      <c r="Q24" s="6">
        <f>G24+I24-K24-H24-L24-M24-N24-O24-P24</f>
        <v/>
      </c>
      <c r="R24" s="6">
        <f>R23+Q24</f>
        <v/>
      </c>
    </row>
    <row r="25">
      <c r="A25" t="n">
        <v>23</v>
      </c>
      <c r="B25" s="40">
        <f>(1+Premissas!$B$32)^A25</f>
        <v/>
      </c>
      <c r="C25" s="6">
        <f>C24-D24</f>
        <v/>
      </c>
      <c r="D25" s="6">
        <f>IF(A25&lt;=Premissas!$B$16,C25*Premissas!$B$29,C25/(57-A25))</f>
        <v/>
      </c>
      <c r="E25" s="6">
        <f>D25*B25</f>
        <v/>
      </c>
      <c r="F25" s="6">
        <f>IF(A25&lt;Premissas!$B$16,E25*Premissas!$B$27*Premissas!$B$30/(Premissas!$B$16-A25),0)</f>
        <v/>
      </c>
      <c r="G25" s="6">
        <f>IF(A25&lt;Premissas!$B$16,SUM($F$2:F25),IF(A25=Premissas!$B$16,SUM($E$2:E24)*Premissas!$B$27*Premissas!$B$31+E25*Premissas!$B$27+Premissas!$B$33,E25*Premissas!$B$27))</f>
        <v/>
      </c>
      <c r="H25" s="6">
        <f>IF(A25&lt;Premissas!$B$16,Premissas!$B$21*INDEX(Premissas!$D$3:$D$38,A25+1)*(1+Premissas!$B$47)^A25,0)</f>
        <v/>
      </c>
      <c r="I25" s="6">
        <f>H25*Premissas!$B$42</f>
        <v/>
      </c>
      <c r="J25" s="6">
        <f>IF(A25&lt;=Premissas!$B$16,J24*(1+Premissas!$B$46)+I25,0)</f>
        <v/>
      </c>
      <c r="K25" s="6">
        <f>IF(A25=Premissas!$B$16,J25,0)</f>
        <v/>
      </c>
      <c r="L25" s="6">
        <f>E25*Premissas!$B$35</f>
        <v/>
      </c>
      <c r="M25" s="6">
        <f>IF(A25=0,Premissas!$B$10*Premissas!$B$36*Premissas!$B$37,IF(A25&lt;=Premissas!$B$16,Premissas!$B$10*Premissas!$B$36*(1-Premissas!$B$37)/Premissas!$B$16,0))</f>
        <v/>
      </c>
      <c r="N25" s="6">
        <f>Premissas!$B$10*Premissas!$B$38/57</f>
        <v/>
      </c>
      <c r="O25" s="6">
        <f>G25*Premissas!$B$39</f>
        <v/>
      </c>
      <c r="P25" s="6">
        <f>Premissas!$B$10*Premissas!$B$40/57</f>
        <v/>
      </c>
      <c r="Q25" s="6">
        <f>G25+I25-K25-H25-L25-M25-N25-O25-P25</f>
        <v/>
      </c>
      <c r="R25" s="6">
        <f>R24+Q25</f>
        <v/>
      </c>
    </row>
    <row r="26">
      <c r="A26" t="n">
        <v>24</v>
      </c>
      <c r="B26" s="40">
        <f>(1+Premissas!$B$32)^A26</f>
        <v/>
      </c>
      <c r="C26" s="6">
        <f>C25-D25</f>
        <v/>
      </c>
      <c r="D26" s="6">
        <f>IF(A26&lt;=Premissas!$B$16,C26*Premissas!$B$29,C26/(57-A26))</f>
        <v/>
      </c>
      <c r="E26" s="6">
        <f>D26*B26</f>
        <v/>
      </c>
      <c r="F26" s="6">
        <f>IF(A26&lt;Premissas!$B$16,E26*Premissas!$B$27*Premissas!$B$30/(Premissas!$B$16-A26),0)</f>
        <v/>
      </c>
      <c r="G26" s="6">
        <f>IF(A26&lt;Premissas!$B$16,SUM($F$2:F26),IF(A26=Premissas!$B$16,SUM($E$2:E25)*Premissas!$B$27*Premissas!$B$31+E26*Premissas!$B$27+Premissas!$B$33,E26*Premissas!$B$27))</f>
        <v/>
      </c>
      <c r="H26" s="6">
        <f>IF(A26&lt;Premissas!$B$16,Premissas!$B$21*INDEX(Premissas!$D$3:$D$38,A26+1)*(1+Premissas!$B$47)^A26,0)</f>
        <v/>
      </c>
      <c r="I26" s="6">
        <f>H26*Premissas!$B$42</f>
        <v/>
      </c>
      <c r="J26" s="6">
        <f>IF(A26&lt;=Premissas!$B$16,J25*(1+Premissas!$B$46)+I26,0)</f>
        <v/>
      </c>
      <c r="K26" s="6">
        <f>IF(A26=Premissas!$B$16,J26,0)</f>
        <v/>
      </c>
      <c r="L26" s="6">
        <f>E26*Premissas!$B$35</f>
        <v/>
      </c>
      <c r="M26" s="6">
        <f>IF(A26=0,Premissas!$B$10*Premissas!$B$36*Premissas!$B$37,IF(A26&lt;=Premissas!$B$16,Premissas!$B$10*Premissas!$B$36*(1-Premissas!$B$37)/Premissas!$B$16,0))</f>
        <v/>
      </c>
      <c r="N26" s="6">
        <f>Premissas!$B$10*Premissas!$B$38/57</f>
        <v/>
      </c>
      <c r="O26" s="6">
        <f>G26*Premissas!$B$39</f>
        <v/>
      </c>
      <c r="P26" s="6">
        <f>Premissas!$B$10*Premissas!$B$40/57</f>
        <v/>
      </c>
      <c r="Q26" s="6">
        <f>G26+I26-K26-H26-L26-M26-N26-O26-P26</f>
        <v/>
      </c>
      <c r="R26" s="6">
        <f>R25+Q26</f>
        <v/>
      </c>
    </row>
    <row r="27">
      <c r="A27" t="n">
        <v>25</v>
      </c>
      <c r="B27" s="40">
        <f>(1+Premissas!$B$32)^A27</f>
        <v/>
      </c>
      <c r="C27" s="6">
        <f>C26-D26</f>
        <v/>
      </c>
      <c r="D27" s="6">
        <f>IF(A27&lt;=Premissas!$B$16,C27*Premissas!$B$29,C27/(57-A27))</f>
        <v/>
      </c>
      <c r="E27" s="6">
        <f>D27*B27</f>
        <v/>
      </c>
      <c r="F27" s="6">
        <f>IF(A27&lt;Premissas!$B$16,E27*Premissas!$B$27*Premissas!$B$30/(Premissas!$B$16-A27),0)</f>
        <v/>
      </c>
      <c r="G27" s="6">
        <f>IF(A27&lt;Premissas!$B$16,SUM($F$2:F27),IF(A27=Premissas!$B$16,SUM($E$2:E26)*Premissas!$B$27*Premissas!$B$31+E27*Premissas!$B$27+Premissas!$B$33,E27*Premissas!$B$27))</f>
        <v/>
      </c>
      <c r="H27" s="6">
        <f>IF(A27&lt;Premissas!$B$16,Premissas!$B$21*INDEX(Premissas!$D$3:$D$38,A27+1)*(1+Premissas!$B$47)^A27,0)</f>
        <v/>
      </c>
      <c r="I27" s="6">
        <f>H27*Premissas!$B$42</f>
        <v/>
      </c>
      <c r="J27" s="6">
        <f>IF(A27&lt;=Premissas!$B$16,J26*(1+Premissas!$B$46)+I27,0)</f>
        <v/>
      </c>
      <c r="K27" s="6">
        <f>IF(A27=Premissas!$B$16,J27,0)</f>
        <v/>
      </c>
      <c r="L27" s="6">
        <f>E27*Premissas!$B$35</f>
        <v/>
      </c>
      <c r="M27" s="6">
        <f>IF(A27=0,Premissas!$B$10*Premissas!$B$36*Premissas!$B$37,IF(A27&lt;=Premissas!$B$16,Premissas!$B$10*Premissas!$B$36*(1-Premissas!$B$37)/Premissas!$B$16,0))</f>
        <v/>
      </c>
      <c r="N27" s="6">
        <f>Premissas!$B$10*Premissas!$B$38/57</f>
        <v/>
      </c>
      <c r="O27" s="6">
        <f>G27*Premissas!$B$39</f>
        <v/>
      </c>
      <c r="P27" s="6">
        <f>Premissas!$B$10*Premissas!$B$40/57</f>
        <v/>
      </c>
      <c r="Q27" s="6">
        <f>G27+I27-K27-H27-L27-M27-N27-O27-P27</f>
        <v/>
      </c>
      <c r="R27" s="6">
        <f>R26+Q27</f>
        <v/>
      </c>
    </row>
    <row r="28">
      <c r="A28" t="n">
        <v>26</v>
      </c>
      <c r="B28" s="40">
        <f>(1+Premissas!$B$32)^A28</f>
        <v/>
      </c>
      <c r="C28" s="6">
        <f>C27-D27</f>
        <v/>
      </c>
      <c r="D28" s="6">
        <f>IF(A28&lt;=Premissas!$B$16,C28*Premissas!$B$29,C28/(57-A28))</f>
        <v/>
      </c>
      <c r="E28" s="6">
        <f>D28*B28</f>
        <v/>
      </c>
      <c r="F28" s="6">
        <f>IF(A28&lt;Premissas!$B$16,E28*Premissas!$B$27*Premissas!$B$30/(Premissas!$B$16-A28),0)</f>
        <v/>
      </c>
      <c r="G28" s="6">
        <f>IF(A28&lt;Premissas!$B$16,SUM($F$2:F28),IF(A28=Premissas!$B$16,SUM($E$2:E27)*Premissas!$B$27*Premissas!$B$31+E28*Premissas!$B$27+Premissas!$B$33,E28*Premissas!$B$27))</f>
        <v/>
      </c>
      <c r="H28" s="6">
        <f>IF(A28&lt;Premissas!$B$16,Premissas!$B$21*INDEX(Premissas!$D$3:$D$38,A28+1)*(1+Premissas!$B$47)^A28,0)</f>
        <v/>
      </c>
      <c r="I28" s="6">
        <f>H28*Premissas!$B$42</f>
        <v/>
      </c>
      <c r="J28" s="6">
        <f>IF(A28&lt;=Premissas!$B$16,J27*(1+Premissas!$B$46)+I28,0)</f>
        <v/>
      </c>
      <c r="K28" s="6">
        <f>IF(A28=Premissas!$B$16,J28,0)</f>
        <v/>
      </c>
      <c r="L28" s="6">
        <f>E28*Premissas!$B$35</f>
        <v/>
      </c>
      <c r="M28" s="6">
        <f>IF(A28=0,Premissas!$B$10*Premissas!$B$36*Premissas!$B$37,IF(A28&lt;=Premissas!$B$16,Premissas!$B$10*Premissas!$B$36*(1-Premissas!$B$37)/Premissas!$B$16,0))</f>
        <v/>
      </c>
      <c r="N28" s="6">
        <f>Premissas!$B$10*Premissas!$B$38/57</f>
        <v/>
      </c>
      <c r="O28" s="6">
        <f>G28*Premissas!$B$39</f>
        <v/>
      </c>
      <c r="P28" s="6">
        <f>Premissas!$B$10*Premissas!$B$40/57</f>
        <v/>
      </c>
      <c r="Q28" s="6">
        <f>G28+I28-K28-H28-L28-M28-N28-O28-P28</f>
        <v/>
      </c>
      <c r="R28" s="6">
        <f>R27+Q28</f>
        <v/>
      </c>
    </row>
    <row r="29">
      <c r="A29" t="n">
        <v>27</v>
      </c>
      <c r="B29" s="40">
        <f>(1+Premissas!$B$32)^A29</f>
        <v/>
      </c>
      <c r="C29" s="6">
        <f>C28-D28</f>
        <v/>
      </c>
      <c r="D29" s="6">
        <f>IF(A29&lt;=Premissas!$B$16,C29*Premissas!$B$29,C29/(57-A29))</f>
        <v/>
      </c>
      <c r="E29" s="6">
        <f>D29*B29</f>
        <v/>
      </c>
      <c r="F29" s="6">
        <f>IF(A29&lt;Premissas!$B$16,E29*Premissas!$B$27*Premissas!$B$30/(Premissas!$B$16-A29),0)</f>
        <v/>
      </c>
      <c r="G29" s="6">
        <f>IF(A29&lt;Premissas!$B$16,SUM($F$2:F29),IF(A29=Premissas!$B$16,SUM($E$2:E28)*Premissas!$B$27*Premissas!$B$31+E29*Premissas!$B$27+Premissas!$B$33,E29*Premissas!$B$27))</f>
        <v/>
      </c>
      <c r="H29" s="6">
        <f>IF(A29&lt;Premissas!$B$16,Premissas!$B$21*INDEX(Premissas!$D$3:$D$38,A29+1)*(1+Premissas!$B$47)^A29,0)</f>
        <v/>
      </c>
      <c r="I29" s="6">
        <f>H29*Premissas!$B$42</f>
        <v/>
      </c>
      <c r="J29" s="6">
        <f>IF(A29&lt;=Premissas!$B$16,J28*(1+Premissas!$B$46)+I29,0)</f>
        <v/>
      </c>
      <c r="K29" s="6">
        <f>IF(A29=Premissas!$B$16,J29,0)</f>
        <v/>
      </c>
      <c r="L29" s="6">
        <f>E29*Premissas!$B$35</f>
        <v/>
      </c>
      <c r="M29" s="6">
        <f>IF(A29=0,Premissas!$B$10*Premissas!$B$36*Premissas!$B$37,IF(A29&lt;=Premissas!$B$16,Premissas!$B$10*Premissas!$B$36*(1-Premissas!$B$37)/Premissas!$B$16,0))</f>
        <v/>
      </c>
      <c r="N29" s="6">
        <f>Premissas!$B$10*Premissas!$B$38/57</f>
        <v/>
      </c>
      <c r="O29" s="6">
        <f>G29*Premissas!$B$39</f>
        <v/>
      </c>
      <c r="P29" s="6">
        <f>Premissas!$B$10*Premissas!$B$40/57</f>
        <v/>
      </c>
      <c r="Q29" s="6">
        <f>G29+I29-K29-H29-L29-M29-N29-O29-P29</f>
        <v/>
      </c>
      <c r="R29" s="6">
        <f>R28+Q29</f>
        <v/>
      </c>
    </row>
    <row r="30">
      <c r="A30" t="n">
        <v>28</v>
      </c>
      <c r="B30" s="40">
        <f>(1+Premissas!$B$32)^A30</f>
        <v/>
      </c>
      <c r="C30" s="6">
        <f>C29-D29</f>
        <v/>
      </c>
      <c r="D30" s="6">
        <f>IF(A30&lt;=Premissas!$B$16,C30*Premissas!$B$29,C30/(57-A30))</f>
        <v/>
      </c>
      <c r="E30" s="6">
        <f>D30*B30</f>
        <v/>
      </c>
      <c r="F30" s="6">
        <f>IF(A30&lt;Premissas!$B$16,E30*Premissas!$B$27*Premissas!$B$30/(Premissas!$B$16-A30),0)</f>
        <v/>
      </c>
      <c r="G30" s="6">
        <f>IF(A30&lt;Premissas!$B$16,SUM($F$2:F30),IF(A30=Premissas!$B$16,SUM($E$2:E29)*Premissas!$B$27*Premissas!$B$31+E30*Premissas!$B$27+Premissas!$B$33,E30*Premissas!$B$27))</f>
        <v/>
      </c>
      <c r="H30" s="6">
        <f>IF(A30&lt;Premissas!$B$16,Premissas!$B$21*INDEX(Premissas!$D$3:$D$38,A30+1)*(1+Premissas!$B$47)^A30,0)</f>
        <v/>
      </c>
      <c r="I30" s="6">
        <f>H30*Premissas!$B$42</f>
        <v/>
      </c>
      <c r="J30" s="6">
        <f>IF(A30&lt;=Premissas!$B$16,J29*(1+Premissas!$B$46)+I30,0)</f>
        <v/>
      </c>
      <c r="K30" s="6">
        <f>IF(A30=Premissas!$B$16,J30,0)</f>
        <v/>
      </c>
      <c r="L30" s="6">
        <f>E30*Premissas!$B$35</f>
        <v/>
      </c>
      <c r="M30" s="6">
        <f>IF(A30=0,Premissas!$B$10*Premissas!$B$36*Premissas!$B$37,IF(A30&lt;=Premissas!$B$16,Premissas!$B$10*Premissas!$B$36*(1-Premissas!$B$37)/Premissas!$B$16,0))</f>
        <v/>
      </c>
      <c r="N30" s="6">
        <f>Premissas!$B$10*Premissas!$B$38/57</f>
        <v/>
      </c>
      <c r="O30" s="6">
        <f>G30*Premissas!$B$39</f>
        <v/>
      </c>
      <c r="P30" s="6">
        <f>Premissas!$B$10*Premissas!$B$40/57</f>
        <v/>
      </c>
      <c r="Q30" s="6">
        <f>G30+I30-K30-H30-L30-M30-N30-O30-P30</f>
        <v/>
      </c>
      <c r="R30" s="6">
        <f>R29+Q30</f>
        <v/>
      </c>
    </row>
    <row r="31">
      <c r="A31" t="n">
        <v>29</v>
      </c>
      <c r="B31" s="40">
        <f>(1+Premissas!$B$32)^A31</f>
        <v/>
      </c>
      <c r="C31" s="6">
        <f>C30-D30</f>
        <v/>
      </c>
      <c r="D31" s="6">
        <f>IF(A31&lt;=Premissas!$B$16,C31*Premissas!$B$29,C31/(57-A31))</f>
        <v/>
      </c>
      <c r="E31" s="6">
        <f>D31*B31</f>
        <v/>
      </c>
      <c r="F31" s="6">
        <f>IF(A31&lt;Premissas!$B$16,E31*Premissas!$B$27*Premissas!$B$30/(Premissas!$B$16-A31),0)</f>
        <v/>
      </c>
      <c r="G31" s="6">
        <f>IF(A31&lt;Premissas!$B$16,SUM($F$2:F31),IF(A31=Premissas!$B$16,SUM($E$2:E30)*Premissas!$B$27*Premissas!$B$31+E31*Premissas!$B$27+Premissas!$B$33,E31*Premissas!$B$27))</f>
        <v/>
      </c>
      <c r="H31" s="6">
        <f>IF(A31&lt;Premissas!$B$16,Premissas!$B$21*INDEX(Premissas!$D$3:$D$38,A31+1)*(1+Premissas!$B$47)^A31,0)</f>
        <v/>
      </c>
      <c r="I31" s="6">
        <f>H31*Premissas!$B$42</f>
        <v/>
      </c>
      <c r="J31" s="6">
        <f>IF(A31&lt;=Premissas!$B$16,J30*(1+Premissas!$B$46)+I31,0)</f>
        <v/>
      </c>
      <c r="K31" s="6">
        <f>IF(A31=Premissas!$B$16,J31,0)</f>
        <v/>
      </c>
      <c r="L31" s="6">
        <f>E31*Premissas!$B$35</f>
        <v/>
      </c>
      <c r="M31" s="6">
        <f>IF(A31=0,Premissas!$B$10*Premissas!$B$36*Premissas!$B$37,IF(A31&lt;=Premissas!$B$16,Premissas!$B$10*Premissas!$B$36*(1-Premissas!$B$37)/Premissas!$B$16,0))</f>
        <v/>
      </c>
      <c r="N31" s="6">
        <f>Premissas!$B$10*Premissas!$B$38/57</f>
        <v/>
      </c>
      <c r="O31" s="6">
        <f>G31*Premissas!$B$39</f>
        <v/>
      </c>
      <c r="P31" s="6">
        <f>Premissas!$B$10*Premissas!$B$40/57</f>
        <v/>
      </c>
      <c r="Q31" s="6">
        <f>G31+I31-K31-H31-L31-M31-N31-O31-P31</f>
        <v/>
      </c>
      <c r="R31" s="6">
        <f>R30+Q31</f>
        <v/>
      </c>
    </row>
    <row r="32">
      <c r="A32" t="n">
        <v>30</v>
      </c>
      <c r="B32" s="40">
        <f>(1+Premissas!$B$32)^A32</f>
        <v/>
      </c>
      <c r="C32" s="6">
        <f>C31-D31</f>
        <v/>
      </c>
      <c r="D32" s="6">
        <f>IF(A32&lt;=Premissas!$B$16,C32*Premissas!$B$29,C32/(57-A32))</f>
        <v/>
      </c>
      <c r="E32" s="6">
        <f>D32*B32</f>
        <v/>
      </c>
      <c r="F32" s="6">
        <f>IF(A32&lt;Premissas!$B$16,E32*Premissas!$B$27*Premissas!$B$30/(Premissas!$B$16-A32),0)</f>
        <v/>
      </c>
      <c r="G32" s="6">
        <f>IF(A32&lt;Premissas!$B$16,SUM($F$2:F32),IF(A32=Premissas!$B$16,SUM($E$2:E31)*Premissas!$B$27*Premissas!$B$31+E32*Premissas!$B$27+Premissas!$B$33,E32*Premissas!$B$27))</f>
        <v/>
      </c>
      <c r="H32" s="6">
        <f>IF(A32&lt;Premissas!$B$16,Premissas!$B$21*INDEX(Premissas!$D$3:$D$38,A32+1)*(1+Premissas!$B$47)^A32,0)</f>
        <v/>
      </c>
      <c r="I32" s="6">
        <f>H32*Premissas!$B$42</f>
        <v/>
      </c>
      <c r="J32" s="6">
        <f>IF(A32&lt;=Premissas!$B$16,J31*(1+Premissas!$B$46)+I32,0)</f>
        <v/>
      </c>
      <c r="K32" s="6">
        <f>IF(A32=Premissas!$B$16,J32,0)</f>
        <v/>
      </c>
      <c r="L32" s="6">
        <f>E32*Premissas!$B$35</f>
        <v/>
      </c>
      <c r="M32" s="6">
        <f>IF(A32=0,Premissas!$B$10*Premissas!$B$36*Premissas!$B$37,IF(A32&lt;=Premissas!$B$16,Premissas!$B$10*Premissas!$B$36*(1-Premissas!$B$37)/Premissas!$B$16,0))</f>
        <v/>
      </c>
      <c r="N32" s="6">
        <f>Premissas!$B$10*Premissas!$B$38/57</f>
        <v/>
      </c>
      <c r="O32" s="6">
        <f>G32*Premissas!$B$39</f>
        <v/>
      </c>
      <c r="P32" s="6">
        <f>Premissas!$B$10*Premissas!$B$40/57</f>
        <v/>
      </c>
      <c r="Q32" s="6">
        <f>G32+I32-K32-H32-L32-M32-N32-O32-P32</f>
        <v/>
      </c>
      <c r="R32" s="6">
        <f>R31+Q32</f>
        <v/>
      </c>
    </row>
    <row r="33">
      <c r="A33" t="n">
        <v>31</v>
      </c>
      <c r="B33" s="40">
        <f>(1+Premissas!$B$32)^A33</f>
        <v/>
      </c>
      <c r="C33" s="6">
        <f>C32-D32</f>
        <v/>
      </c>
      <c r="D33" s="6">
        <f>IF(A33&lt;=Premissas!$B$16,C33*Premissas!$B$29,C33/(57-A33))</f>
        <v/>
      </c>
      <c r="E33" s="6">
        <f>D33*B33</f>
        <v/>
      </c>
      <c r="F33" s="6">
        <f>IF(A33&lt;Premissas!$B$16,E33*Premissas!$B$27*Premissas!$B$30/(Premissas!$B$16-A33),0)</f>
        <v/>
      </c>
      <c r="G33" s="6">
        <f>IF(A33&lt;Premissas!$B$16,SUM($F$2:F33),IF(A33=Premissas!$B$16,SUM($E$2:E32)*Premissas!$B$27*Premissas!$B$31+E33*Premissas!$B$27+Premissas!$B$33,E33*Premissas!$B$27))</f>
        <v/>
      </c>
      <c r="H33" s="6">
        <f>IF(A33&lt;Premissas!$B$16,Premissas!$B$21*INDEX(Premissas!$D$3:$D$38,A33+1)*(1+Premissas!$B$47)^A33,0)</f>
        <v/>
      </c>
      <c r="I33" s="6">
        <f>H33*Premissas!$B$42</f>
        <v/>
      </c>
      <c r="J33" s="6">
        <f>IF(A33&lt;=Premissas!$B$16,J32*(1+Premissas!$B$46)+I33,0)</f>
        <v/>
      </c>
      <c r="K33" s="6">
        <f>IF(A33=Premissas!$B$16,J33,0)</f>
        <v/>
      </c>
      <c r="L33" s="6">
        <f>E33*Premissas!$B$35</f>
        <v/>
      </c>
      <c r="M33" s="6">
        <f>IF(A33=0,Premissas!$B$10*Premissas!$B$36*Premissas!$B$37,IF(A33&lt;=Premissas!$B$16,Premissas!$B$10*Premissas!$B$36*(1-Premissas!$B$37)/Premissas!$B$16,0))</f>
        <v/>
      </c>
      <c r="N33" s="6">
        <f>Premissas!$B$10*Premissas!$B$38/57</f>
        <v/>
      </c>
      <c r="O33" s="6">
        <f>G33*Premissas!$B$39</f>
        <v/>
      </c>
      <c r="P33" s="6">
        <f>Premissas!$B$10*Premissas!$B$40/57</f>
        <v/>
      </c>
      <c r="Q33" s="6">
        <f>G33+I33-K33-H33-L33-M33-N33-O33-P33</f>
        <v/>
      </c>
      <c r="R33" s="6">
        <f>R32+Q33</f>
        <v/>
      </c>
    </row>
    <row r="34">
      <c r="A34" t="n">
        <v>32</v>
      </c>
      <c r="B34" s="40">
        <f>(1+Premissas!$B$32)^A34</f>
        <v/>
      </c>
      <c r="C34" s="6">
        <f>C33-D33</f>
        <v/>
      </c>
      <c r="D34" s="6">
        <f>IF(A34&lt;=Premissas!$B$16,C34*Premissas!$B$29,C34/(57-A34))</f>
        <v/>
      </c>
      <c r="E34" s="6">
        <f>D34*B34</f>
        <v/>
      </c>
      <c r="F34" s="6">
        <f>IF(A34&lt;Premissas!$B$16,E34*Premissas!$B$27*Premissas!$B$30/(Premissas!$B$16-A34),0)</f>
        <v/>
      </c>
      <c r="G34" s="6">
        <f>IF(A34&lt;Premissas!$B$16,SUM($F$2:F34),IF(A34=Premissas!$B$16,SUM($E$2:E33)*Premissas!$B$27*Premissas!$B$31+E34*Premissas!$B$27+Premissas!$B$33,E34*Premissas!$B$27))</f>
        <v/>
      </c>
      <c r="H34" s="6">
        <f>IF(A34&lt;Premissas!$B$16,Premissas!$B$21*INDEX(Premissas!$D$3:$D$38,A34+1)*(1+Premissas!$B$47)^A34,0)</f>
        <v/>
      </c>
      <c r="I34" s="6">
        <f>H34*Premissas!$B$42</f>
        <v/>
      </c>
      <c r="J34" s="6">
        <f>IF(A34&lt;=Premissas!$B$16,J33*(1+Premissas!$B$46)+I34,0)</f>
        <v/>
      </c>
      <c r="K34" s="6">
        <f>IF(A34=Premissas!$B$16,J34,0)</f>
        <v/>
      </c>
      <c r="L34" s="6">
        <f>E34*Premissas!$B$35</f>
        <v/>
      </c>
      <c r="M34" s="6">
        <f>IF(A34=0,Premissas!$B$10*Premissas!$B$36*Premissas!$B$37,IF(A34&lt;=Premissas!$B$16,Premissas!$B$10*Premissas!$B$36*(1-Premissas!$B$37)/Premissas!$B$16,0))</f>
        <v/>
      </c>
      <c r="N34" s="6">
        <f>Premissas!$B$10*Premissas!$B$38/57</f>
        <v/>
      </c>
      <c r="O34" s="6">
        <f>G34*Premissas!$B$39</f>
        <v/>
      </c>
      <c r="P34" s="6">
        <f>Premissas!$B$10*Premissas!$B$40/57</f>
        <v/>
      </c>
      <c r="Q34" s="6">
        <f>G34+I34-K34-H34-L34-M34-N34-O34-P34</f>
        <v/>
      </c>
      <c r="R34" s="6">
        <f>R33+Q34</f>
        <v/>
      </c>
    </row>
    <row r="35">
      <c r="A35" t="n">
        <v>33</v>
      </c>
      <c r="B35" s="40">
        <f>(1+Premissas!$B$32)^A35</f>
        <v/>
      </c>
      <c r="C35" s="6">
        <f>C34-D34</f>
        <v/>
      </c>
      <c r="D35" s="6">
        <f>IF(A35&lt;=Premissas!$B$16,C35*Premissas!$B$29,C35/(57-A35))</f>
        <v/>
      </c>
      <c r="E35" s="6">
        <f>D35*B35</f>
        <v/>
      </c>
      <c r="F35" s="6">
        <f>IF(A35&lt;Premissas!$B$16,E35*Premissas!$B$27*Premissas!$B$30/(Premissas!$B$16-A35),0)</f>
        <v/>
      </c>
      <c r="G35" s="6">
        <f>IF(A35&lt;Premissas!$B$16,SUM($F$2:F35),IF(A35=Premissas!$B$16,SUM($E$2:E34)*Premissas!$B$27*Premissas!$B$31+E35*Premissas!$B$27+Premissas!$B$33,E35*Premissas!$B$27))</f>
        <v/>
      </c>
      <c r="H35" s="6">
        <f>IF(A35&lt;Premissas!$B$16,Premissas!$B$21*INDEX(Premissas!$D$3:$D$38,A35+1)*(1+Premissas!$B$47)^A35,0)</f>
        <v/>
      </c>
      <c r="I35" s="6">
        <f>H35*Premissas!$B$42</f>
        <v/>
      </c>
      <c r="J35" s="6">
        <f>IF(A35&lt;=Premissas!$B$16,J34*(1+Premissas!$B$46)+I35,0)</f>
        <v/>
      </c>
      <c r="K35" s="6">
        <f>IF(A35=Premissas!$B$16,J35,0)</f>
        <v/>
      </c>
      <c r="L35" s="6">
        <f>E35*Premissas!$B$35</f>
        <v/>
      </c>
      <c r="M35" s="6">
        <f>IF(A35=0,Premissas!$B$10*Premissas!$B$36*Premissas!$B$37,IF(A35&lt;=Premissas!$B$16,Premissas!$B$10*Premissas!$B$36*(1-Premissas!$B$37)/Premissas!$B$16,0))</f>
        <v/>
      </c>
      <c r="N35" s="6">
        <f>Premissas!$B$10*Premissas!$B$38/57</f>
        <v/>
      </c>
      <c r="O35" s="6">
        <f>G35*Premissas!$B$39</f>
        <v/>
      </c>
      <c r="P35" s="6">
        <f>Premissas!$B$10*Premissas!$B$40/57</f>
        <v/>
      </c>
      <c r="Q35" s="6">
        <f>G35+I35-K35-H35-L35-M35-N35-O35-P35</f>
        <v/>
      </c>
      <c r="R35" s="6">
        <f>R34+Q35</f>
        <v/>
      </c>
    </row>
    <row r="36">
      <c r="A36" t="n">
        <v>34</v>
      </c>
      <c r="B36" s="40">
        <f>(1+Premissas!$B$32)^A36</f>
        <v/>
      </c>
      <c r="C36" s="6">
        <f>C35-D35</f>
        <v/>
      </c>
      <c r="D36" s="6">
        <f>IF(A36&lt;=Premissas!$B$16,C36*Premissas!$B$29,C36/(57-A36))</f>
        <v/>
      </c>
      <c r="E36" s="6">
        <f>D36*B36</f>
        <v/>
      </c>
      <c r="F36" s="6">
        <f>IF(A36&lt;Premissas!$B$16,E36*Premissas!$B$27*Premissas!$B$30/(Premissas!$B$16-A36),0)</f>
        <v/>
      </c>
      <c r="G36" s="6">
        <f>IF(A36&lt;Premissas!$B$16,SUM($F$2:F36),IF(A36=Premissas!$B$16,SUM($E$2:E35)*Premissas!$B$27*Premissas!$B$31+E36*Premissas!$B$27+Premissas!$B$33,E36*Premissas!$B$27))</f>
        <v/>
      </c>
      <c r="H36" s="6">
        <f>IF(A36&lt;Premissas!$B$16,Premissas!$B$21*INDEX(Premissas!$D$3:$D$38,A36+1)*(1+Premissas!$B$47)^A36,0)</f>
        <v/>
      </c>
      <c r="I36" s="6">
        <f>H36*Premissas!$B$42</f>
        <v/>
      </c>
      <c r="J36" s="6">
        <f>IF(A36&lt;=Premissas!$B$16,J35*(1+Premissas!$B$46)+I36,0)</f>
        <v/>
      </c>
      <c r="K36" s="6">
        <f>IF(A36=Premissas!$B$16,J36,0)</f>
        <v/>
      </c>
      <c r="L36" s="6">
        <f>E36*Premissas!$B$35</f>
        <v/>
      </c>
      <c r="M36" s="6">
        <f>IF(A36=0,Premissas!$B$10*Premissas!$B$36*Premissas!$B$37,IF(A36&lt;=Premissas!$B$16,Premissas!$B$10*Premissas!$B$36*(1-Premissas!$B$37)/Premissas!$B$16,0))</f>
        <v/>
      </c>
      <c r="N36" s="6">
        <f>Premissas!$B$10*Premissas!$B$38/57</f>
        <v/>
      </c>
      <c r="O36" s="6">
        <f>G36*Premissas!$B$39</f>
        <v/>
      </c>
      <c r="P36" s="6">
        <f>Premissas!$B$10*Premissas!$B$40/57</f>
        <v/>
      </c>
      <c r="Q36" s="6">
        <f>G36+I36-K36-H36-L36-M36-N36-O36-P36</f>
        <v/>
      </c>
      <c r="R36" s="6">
        <f>R35+Q36</f>
        <v/>
      </c>
    </row>
    <row r="37">
      <c r="A37" t="n">
        <v>35</v>
      </c>
      <c r="B37" s="40">
        <f>(1+Premissas!$B$32)^A37</f>
        <v/>
      </c>
      <c r="C37" s="6">
        <f>C36-D36</f>
        <v/>
      </c>
      <c r="D37" s="6">
        <f>IF(A37&lt;=Premissas!$B$16,C37*Premissas!$B$29,C37/(57-A37))</f>
        <v/>
      </c>
      <c r="E37" s="6">
        <f>D37*B37</f>
        <v/>
      </c>
      <c r="F37" s="6">
        <f>IF(A37&lt;Premissas!$B$16,E37*Premissas!$B$27*Premissas!$B$30/(Premissas!$B$16-A37),0)</f>
        <v/>
      </c>
      <c r="G37" s="6">
        <f>IF(A37&lt;Premissas!$B$16,SUM($F$2:F37),IF(A37=Premissas!$B$16,SUM($E$2:E36)*Premissas!$B$27*Premissas!$B$31+E37*Premissas!$B$27+Premissas!$B$33,E37*Premissas!$B$27))</f>
        <v/>
      </c>
      <c r="H37" s="6">
        <f>IF(A37&lt;Premissas!$B$16,Premissas!$B$21*INDEX(Premissas!$D$3:$D$38,A37+1)*(1+Premissas!$B$47)^A37,0)</f>
        <v/>
      </c>
      <c r="I37" s="6">
        <f>H37*Premissas!$B$42</f>
        <v/>
      </c>
      <c r="J37" s="6">
        <f>IF(A37&lt;=Premissas!$B$16,J36*(1+Premissas!$B$46)+I37,0)</f>
        <v/>
      </c>
      <c r="K37" s="6">
        <f>IF(A37=Premissas!$B$16,J37,0)</f>
        <v/>
      </c>
      <c r="L37" s="6">
        <f>E37*Premissas!$B$35</f>
        <v/>
      </c>
      <c r="M37" s="6">
        <f>IF(A37=0,Premissas!$B$10*Premissas!$B$36*Premissas!$B$37,IF(A37&lt;=Premissas!$B$16,Premissas!$B$10*Premissas!$B$36*(1-Premissas!$B$37)/Premissas!$B$16,0))</f>
        <v/>
      </c>
      <c r="N37" s="6">
        <f>Premissas!$B$10*Premissas!$B$38/57</f>
        <v/>
      </c>
      <c r="O37" s="6">
        <f>G37*Premissas!$B$39</f>
        <v/>
      </c>
      <c r="P37" s="6">
        <f>Premissas!$B$10*Premissas!$B$40/57</f>
        <v/>
      </c>
      <c r="Q37" s="6">
        <f>G37+I37-K37-H37-L37-M37-N37-O37-P37</f>
        <v/>
      </c>
      <c r="R37" s="6">
        <f>R36+Q37</f>
        <v/>
      </c>
    </row>
    <row r="38">
      <c r="A38" t="n">
        <v>36</v>
      </c>
      <c r="B38" s="40">
        <f>(1+Premissas!$B$32)^A38</f>
        <v/>
      </c>
      <c r="C38" s="6">
        <f>C37-D37</f>
        <v/>
      </c>
      <c r="D38" s="6">
        <f>IF(A38&lt;=Premissas!$B$16,C38*Premissas!$B$29,C38/(57-A38))</f>
        <v/>
      </c>
      <c r="E38" s="6">
        <f>D38*B38</f>
        <v/>
      </c>
      <c r="F38" s="6">
        <f>IF(A38&lt;Premissas!$B$16,E38*Premissas!$B$27*Premissas!$B$30/(Premissas!$B$16-A38),0)</f>
        <v/>
      </c>
      <c r="G38" s="6">
        <f>IF(A38&lt;Premissas!$B$16,SUM($F$2:F38),IF(A38=Premissas!$B$16,SUM($E$2:E37)*Premissas!$B$27*Premissas!$B$31+E38*Premissas!$B$27+Premissas!$B$33,E38*Premissas!$B$27))</f>
        <v/>
      </c>
      <c r="H38" s="6">
        <f>IF(A38&lt;Premissas!$B$16,Premissas!$B$21*INDEX(Premissas!$D$3:$D$38,A38+1)*(1+Premissas!$B$47)^A38,0)</f>
        <v/>
      </c>
      <c r="I38" s="6">
        <f>H38*Premissas!$B$42</f>
        <v/>
      </c>
      <c r="J38" s="6">
        <f>IF(A38&lt;=Premissas!$B$16,J37*(1+Premissas!$B$46)+I38,0)</f>
        <v/>
      </c>
      <c r="K38" s="6">
        <f>IF(A38=Premissas!$B$16,J38,0)</f>
        <v/>
      </c>
      <c r="L38" s="6">
        <f>E38*Premissas!$B$35</f>
        <v/>
      </c>
      <c r="M38" s="6">
        <f>IF(A38=0,Premissas!$B$10*Premissas!$B$36*Premissas!$B$37,IF(A38&lt;=Premissas!$B$16,Premissas!$B$10*Premissas!$B$36*(1-Premissas!$B$37)/Premissas!$B$16,0))</f>
        <v/>
      </c>
      <c r="N38" s="6">
        <f>Premissas!$B$10*Premissas!$B$38/57</f>
        <v/>
      </c>
      <c r="O38" s="6">
        <f>G38*Premissas!$B$39</f>
        <v/>
      </c>
      <c r="P38" s="6">
        <f>Premissas!$B$10*Premissas!$B$40/57</f>
        <v/>
      </c>
      <c r="Q38" s="6">
        <f>G38+I38-K38-H38-L38-M38-N38-O38-P38</f>
        <v/>
      </c>
      <c r="R38" s="6">
        <f>R37+Q38</f>
        <v/>
      </c>
    </row>
    <row r="39">
      <c r="A39" t="n">
        <v>37</v>
      </c>
      <c r="B39" s="40">
        <f>(1+Premissas!$B$32)^A39</f>
        <v/>
      </c>
      <c r="C39" s="6">
        <f>C38-D38</f>
        <v/>
      </c>
      <c r="D39" s="6">
        <f>IF(A39&lt;=Premissas!$B$16,C39*Premissas!$B$29,C39/(57-A39))</f>
        <v/>
      </c>
      <c r="E39" s="6">
        <f>D39*B39</f>
        <v/>
      </c>
      <c r="F39" s="6">
        <f>IF(A39&lt;Premissas!$B$16,E39*Premissas!$B$27*Premissas!$B$30/(Premissas!$B$16-A39),0)</f>
        <v/>
      </c>
      <c r="G39" s="6">
        <f>IF(A39&lt;Premissas!$B$16,SUM($F$2:F39),IF(A39=Premissas!$B$16,SUM($E$2:E38)*Premissas!$B$27*Premissas!$B$31+E39*Premissas!$B$27+Premissas!$B$33,E39*Premissas!$B$27))</f>
        <v/>
      </c>
      <c r="H39" s="6">
        <f>IF(A39&lt;Premissas!$B$16,Premissas!$B$21*INDEX(Premissas!$D$3:$D$38,A39+1)*(1+Premissas!$B$47)^A39,0)</f>
        <v/>
      </c>
      <c r="I39" s="6">
        <f>H39*Premissas!$B$42</f>
        <v/>
      </c>
      <c r="J39" s="6">
        <f>IF(A39&lt;=Premissas!$B$16,J38*(1+Premissas!$B$46)+I39,0)</f>
        <v/>
      </c>
      <c r="K39" s="6">
        <f>IF(A39=Premissas!$B$16,J39,0)</f>
        <v/>
      </c>
      <c r="L39" s="6">
        <f>E39*Premissas!$B$35</f>
        <v/>
      </c>
      <c r="M39" s="6">
        <f>IF(A39=0,Premissas!$B$10*Premissas!$B$36*Premissas!$B$37,IF(A39&lt;=Premissas!$B$16,Premissas!$B$10*Premissas!$B$36*(1-Premissas!$B$37)/Premissas!$B$16,0))</f>
        <v/>
      </c>
      <c r="N39" s="6">
        <f>Premissas!$B$10*Premissas!$B$38/57</f>
        <v/>
      </c>
      <c r="O39" s="6">
        <f>G39*Premissas!$B$39</f>
        <v/>
      </c>
      <c r="P39" s="6">
        <f>Premissas!$B$10*Premissas!$B$40/57</f>
        <v/>
      </c>
      <c r="Q39" s="6">
        <f>G39+I39-K39-H39-L39-M39-N39-O39-P39</f>
        <v/>
      </c>
      <c r="R39" s="6">
        <f>R38+Q39</f>
        <v/>
      </c>
    </row>
    <row r="40">
      <c r="A40" t="n">
        <v>38</v>
      </c>
      <c r="B40" s="40">
        <f>(1+Premissas!$B$32)^A40</f>
        <v/>
      </c>
      <c r="C40" s="6">
        <f>C39-D39</f>
        <v/>
      </c>
      <c r="D40" s="6">
        <f>IF(A40&lt;=Premissas!$B$16,C40*Premissas!$B$29,C40/(57-A40))</f>
        <v/>
      </c>
      <c r="E40" s="6">
        <f>D40*B40</f>
        <v/>
      </c>
      <c r="F40" s="6">
        <f>IF(A40&lt;Premissas!$B$16,E40*Premissas!$B$27*Premissas!$B$30/(Premissas!$B$16-A40),0)</f>
        <v/>
      </c>
      <c r="G40" s="6">
        <f>IF(A40&lt;Premissas!$B$16,SUM($F$2:F40),IF(A40=Premissas!$B$16,SUM($E$2:E39)*Premissas!$B$27*Premissas!$B$31+E40*Premissas!$B$27+Premissas!$B$33,E40*Premissas!$B$27))</f>
        <v/>
      </c>
      <c r="H40" s="6">
        <f>IF(A40&lt;Premissas!$B$16,Premissas!$B$21*INDEX(Premissas!$D$3:$D$38,A40+1)*(1+Premissas!$B$47)^A40,0)</f>
        <v/>
      </c>
      <c r="I40" s="6">
        <f>H40*Premissas!$B$42</f>
        <v/>
      </c>
      <c r="J40" s="6">
        <f>IF(A40&lt;=Premissas!$B$16,J39*(1+Premissas!$B$46)+I40,0)</f>
        <v/>
      </c>
      <c r="K40" s="6">
        <f>IF(A40=Premissas!$B$16,J40,0)</f>
        <v/>
      </c>
      <c r="L40" s="6">
        <f>E40*Premissas!$B$35</f>
        <v/>
      </c>
      <c r="M40" s="6">
        <f>IF(A40=0,Premissas!$B$10*Premissas!$B$36*Premissas!$B$37,IF(A40&lt;=Premissas!$B$16,Premissas!$B$10*Premissas!$B$36*(1-Premissas!$B$37)/Premissas!$B$16,0))</f>
        <v/>
      </c>
      <c r="N40" s="6">
        <f>Premissas!$B$10*Premissas!$B$38/57</f>
        <v/>
      </c>
      <c r="O40" s="6">
        <f>G40*Premissas!$B$39</f>
        <v/>
      </c>
      <c r="P40" s="6">
        <f>Premissas!$B$10*Premissas!$B$40/57</f>
        <v/>
      </c>
      <c r="Q40" s="6">
        <f>G40+I40-K40-H40-L40-M40-N40-O40-P40</f>
        <v/>
      </c>
      <c r="R40" s="6">
        <f>R39+Q40</f>
        <v/>
      </c>
    </row>
    <row r="41">
      <c r="A41" t="n">
        <v>39</v>
      </c>
      <c r="B41" s="40">
        <f>(1+Premissas!$B$32)^A41</f>
        <v/>
      </c>
      <c r="C41" s="6">
        <f>C40-D40</f>
        <v/>
      </c>
      <c r="D41" s="6">
        <f>IF(A41&lt;=Premissas!$B$16,C41*Premissas!$B$29,C41/(57-A41))</f>
        <v/>
      </c>
      <c r="E41" s="6">
        <f>D41*B41</f>
        <v/>
      </c>
      <c r="F41" s="6">
        <f>IF(A41&lt;Premissas!$B$16,E41*Premissas!$B$27*Premissas!$B$30/(Premissas!$B$16-A41),0)</f>
        <v/>
      </c>
      <c r="G41" s="6">
        <f>IF(A41&lt;Premissas!$B$16,SUM($F$2:F41),IF(A41=Premissas!$B$16,SUM($E$2:E40)*Premissas!$B$27*Premissas!$B$31+E41*Premissas!$B$27+Premissas!$B$33,E41*Premissas!$B$27))</f>
        <v/>
      </c>
      <c r="H41" s="6">
        <f>IF(A41&lt;Premissas!$B$16,Premissas!$B$21*INDEX(Premissas!$D$3:$D$38,A41+1)*(1+Premissas!$B$47)^A41,0)</f>
        <v/>
      </c>
      <c r="I41" s="6">
        <f>H41*Premissas!$B$42</f>
        <v/>
      </c>
      <c r="J41" s="6">
        <f>IF(A41&lt;=Premissas!$B$16,J40*(1+Premissas!$B$46)+I41,0)</f>
        <v/>
      </c>
      <c r="K41" s="6">
        <f>IF(A41=Premissas!$B$16,J41,0)</f>
        <v/>
      </c>
      <c r="L41" s="6">
        <f>E41*Premissas!$B$35</f>
        <v/>
      </c>
      <c r="M41" s="6">
        <f>IF(A41=0,Premissas!$B$10*Premissas!$B$36*Premissas!$B$37,IF(A41&lt;=Premissas!$B$16,Premissas!$B$10*Premissas!$B$36*(1-Premissas!$B$37)/Premissas!$B$16,0))</f>
        <v/>
      </c>
      <c r="N41" s="6">
        <f>Premissas!$B$10*Premissas!$B$38/57</f>
        <v/>
      </c>
      <c r="O41" s="6">
        <f>G41*Premissas!$B$39</f>
        <v/>
      </c>
      <c r="P41" s="6">
        <f>Premissas!$B$10*Premissas!$B$40/57</f>
        <v/>
      </c>
      <c r="Q41" s="6">
        <f>G41+I41-K41-H41-L41-M41-N41-O41-P41</f>
        <v/>
      </c>
      <c r="R41" s="6">
        <f>R40+Q41</f>
        <v/>
      </c>
    </row>
    <row r="42">
      <c r="A42" t="n">
        <v>40</v>
      </c>
      <c r="B42" s="40">
        <f>(1+Premissas!$B$32)^A42</f>
        <v/>
      </c>
      <c r="C42" s="6">
        <f>C41-D41</f>
        <v/>
      </c>
      <c r="D42" s="6">
        <f>IF(A42&lt;=Premissas!$B$16,C42*Premissas!$B$29,C42/(57-A42))</f>
        <v/>
      </c>
      <c r="E42" s="6">
        <f>D42*B42</f>
        <v/>
      </c>
      <c r="F42" s="6">
        <f>IF(A42&lt;Premissas!$B$16,E42*Premissas!$B$27*Premissas!$B$30/(Premissas!$B$16-A42),0)</f>
        <v/>
      </c>
      <c r="G42" s="6">
        <f>IF(A42&lt;Premissas!$B$16,SUM($F$2:F42),IF(A42=Premissas!$B$16,SUM($E$2:E41)*Premissas!$B$27*Premissas!$B$31+E42*Premissas!$B$27+Premissas!$B$33,E42*Premissas!$B$27))</f>
        <v/>
      </c>
      <c r="H42" s="6">
        <f>IF(A42&lt;Premissas!$B$16,Premissas!$B$21*INDEX(Premissas!$D$3:$D$38,A42+1)*(1+Premissas!$B$47)^A42,0)</f>
        <v/>
      </c>
      <c r="I42" s="6">
        <f>H42*Premissas!$B$42</f>
        <v/>
      </c>
      <c r="J42" s="6">
        <f>IF(A42&lt;=Premissas!$B$16,J41*(1+Premissas!$B$46)+I42,0)</f>
        <v/>
      </c>
      <c r="K42" s="6">
        <f>IF(A42=Premissas!$B$16,J42,0)</f>
        <v/>
      </c>
      <c r="L42" s="6">
        <f>E42*Premissas!$B$35</f>
        <v/>
      </c>
      <c r="M42" s="6">
        <f>IF(A42=0,Premissas!$B$10*Premissas!$B$36*Premissas!$B$37,IF(A42&lt;=Premissas!$B$16,Premissas!$B$10*Premissas!$B$36*(1-Premissas!$B$37)/Premissas!$B$16,0))</f>
        <v/>
      </c>
      <c r="N42" s="6">
        <f>Premissas!$B$10*Premissas!$B$38/57</f>
        <v/>
      </c>
      <c r="O42" s="6">
        <f>G42*Premissas!$B$39</f>
        <v/>
      </c>
      <c r="P42" s="6">
        <f>Premissas!$B$10*Premissas!$B$40/57</f>
        <v/>
      </c>
      <c r="Q42" s="6">
        <f>G42+I42-K42-H42-L42-M42-N42-O42-P42</f>
        <v/>
      </c>
      <c r="R42" s="6">
        <f>R41+Q42</f>
        <v/>
      </c>
    </row>
    <row r="43">
      <c r="A43" t="n">
        <v>41</v>
      </c>
      <c r="B43" s="40">
        <f>(1+Premissas!$B$32)^A43</f>
        <v/>
      </c>
      <c r="C43" s="6">
        <f>C42-D42</f>
        <v/>
      </c>
      <c r="D43" s="6">
        <f>IF(A43&lt;=Premissas!$B$16,C43*Premissas!$B$29,C43/(57-A43))</f>
        <v/>
      </c>
      <c r="E43" s="6">
        <f>D43*B43</f>
        <v/>
      </c>
      <c r="F43" s="6">
        <f>IF(A43&lt;Premissas!$B$16,E43*Premissas!$B$27*Premissas!$B$30/(Premissas!$B$16-A43),0)</f>
        <v/>
      </c>
      <c r="G43" s="6">
        <f>IF(A43&lt;Premissas!$B$16,SUM($F$2:F43),IF(A43=Premissas!$B$16,SUM($E$2:E42)*Premissas!$B$27*Premissas!$B$31+E43*Premissas!$B$27+Premissas!$B$33,E43*Premissas!$B$27))</f>
        <v/>
      </c>
      <c r="H43" s="6">
        <f>IF(A43&lt;Premissas!$B$16,Premissas!$B$21*INDEX(Premissas!$D$3:$D$38,A43+1)*(1+Premissas!$B$47)^A43,0)</f>
        <v/>
      </c>
      <c r="I43" s="6">
        <f>H43*Premissas!$B$42</f>
        <v/>
      </c>
      <c r="J43" s="6">
        <f>IF(A43&lt;=Premissas!$B$16,J42*(1+Premissas!$B$46)+I43,0)</f>
        <v/>
      </c>
      <c r="K43" s="6">
        <f>IF(A43=Premissas!$B$16,J43,0)</f>
        <v/>
      </c>
      <c r="L43" s="6">
        <f>E43*Premissas!$B$35</f>
        <v/>
      </c>
      <c r="M43" s="6">
        <f>IF(A43=0,Premissas!$B$10*Premissas!$B$36*Premissas!$B$37,IF(A43&lt;=Premissas!$B$16,Premissas!$B$10*Premissas!$B$36*(1-Premissas!$B$37)/Premissas!$B$16,0))</f>
        <v/>
      </c>
      <c r="N43" s="6">
        <f>Premissas!$B$10*Premissas!$B$38/57</f>
        <v/>
      </c>
      <c r="O43" s="6">
        <f>G43*Premissas!$B$39</f>
        <v/>
      </c>
      <c r="P43" s="6">
        <f>Premissas!$B$10*Premissas!$B$40/57</f>
        <v/>
      </c>
      <c r="Q43" s="6">
        <f>G43+I43-K43-H43-L43-M43-N43-O43-P43</f>
        <v/>
      </c>
      <c r="R43" s="6">
        <f>R42+Q43</f>
        <v/>
      </c>
    </row>
    <row r="44">
      <c r="A44" t="n">
        <v>42</v>
      </c>
      <c r="B44" s="40">
        <f>(1+Premissas!$B$32)^A44</f>
        <v/>
      </c>
      <c r="C44" s="6">
        <f>C43-D43</f>
        <v/>
      </c>
      <c r="D44" s="6">
        <f>IF(A44&lt;=Premissas!$B$16,C44*Premissas!$B$29,C44/(57-A44))</f>
        <v/>
      </c>
      <c r="E44" s="6">
        <f>D44*B44</f>
        <v/>
      </c>
      <c r="F44" s="6">
        <f>IF(A44&lt;Premissas!$B$16,E44*Premissas!$B$27*Premissas!$B$30/(Premissas!$B$16-A44),0)</f>
        <v/>
      </c>
      <c r="G44" s="6">
        <f>IF(A44&lt;Premissas!$B$16,SUM($F$2:F44),IF(A44=Premissas!$B$16,SUM($E$2:E43)*Premissas!$B$27*Premissas!$B$31+E44*Premissas!$B$27+Premissas!$B$33,E44*Premissas!$B$27))</f>
        <v/>
      </c>
      <c r="H44" s="6">
        <f>IF(A44&lt;Premissas!$B$16,Premissas!$B$21*INDEX(Premissas!$D$3:$D$38,A44+1)*(1+Premissas!$B$47)^A44,0)</f>
        <v/>
      </c>
      <c r="I44" s="6">
        <f>H44*Premissas!$B$42</f>
        <v/>
      </c>
      <c r="J44" s="6">
        <f>IF(A44&lt;=Premissas!$B$16,J43*(1+Premissas!$B$46)+I44,0)</f>
        <v/>
      </c>
      <c r="K44" s="6">
        <f>IF(A44=Premissas!$B$16,J44,0)</f>
        <v/>
      </c>
      <c r="L44" s="6">
        <f>E44*Premissas!$B$35</f>
        <v/>
      </c>
      <c r="M44" s="6">
        <f>IF(A44=0,Premissas!$B$10*Premissas!$B$36*Premissas!$B$37,IF(A44&lt;=Premissas!$B$16,Premissas!$B$10*Premissas!$B$36*(1-Premissas!$B$37)/Premissas!$B$16,0))</f>
        <v/>
      </c>
      <c r="N44" s="6">
        <f>Premissas!$B$10*Premissas!$B$38/57</f>
        <v/>
      </c>
      <c r="O44" s="6">
        <f>G44*Premissas!$B$39</f>
        <v/>
      </c>
      <c r="P44" s="6">
        <f>Premissas!$B$10*Premissas!$B$40/57</f>
        <v/>
      </c>
      <c r="Q44" s="6">
        <f>G44+I44-K44-H44-L44-M44-N44-O44-P44</f>
        <v/>
      </c>
      <c r="R44" s="6">
        <f>R43+Q44</f>
        <v/>
      </c>
    </row>
    <row r="45">
      <c r="A45" t="n">
        <v>43</v>
      </c>
      <c r="B45" s="40">
        <f>(1+Premissas!$B$32)^A45</f>
        <v/>
      </c>
      <c r="C45" s="6">
        <f>C44-D44</f>
        <v/>
      </c>
      <c r="D45" s="6">
        <f>IF(A45&lt;=Premissas!$B$16,C45*Premissas!$B$29,C45/(57-A45))</f>
        <v/>
      </c>
      <c r="E45" s="6">
        <f>D45*B45</f>
        <v/>
      </c>
      <c r="F45" s="6">
        <f>IF(A45&lt;Premissas!$B$16,E45*Premissas!$B$27*Premissas!$B$30/(Premissas!$B$16-A45),0)</f>
        <v/>
      </c>
      <c r="G45" s="6">
        <f>IF(A45&lt;Premissas!$B$16,SUM($F$2:F45),IF(A45=Premissas!$B$16,SUM($E$2:E44)*Premissas!$B$27*Premissas!$B$31+E45*Premissas!$B$27+Premissas!$B$33,E45*Premissas!$B$27))</f>
        <v/>
      </c>
      <c r="H45" s="6">
        <f>IF(A45&lt;Premissas!$B$16,Premissas!$B$21*INDEX(Premissas!$D$3:$D$38,A45+1)*(1+Premissas!$B$47)^A45,0)</f>
        <v/>
      </c>
      <c r="I45" s="6">
        <f>H45*Premissas!$B$42</f>
        <v/>
      </c>
      <c r="J45" s="6">
        <f>IF(A45&lt;=Premissas!$B$16,J44*(1+Premissas!$B$46)+I45,0)</f>
        <v/>
      </c>
      <c r="K45" s="6">
        <f>IF(A45=Premissas!$B$16,J45,0)</f>
        <v/>
      </c>
      <c r="L45" s="6">
        <f>E45*Premissas!$B$35</f>
        <v/>
      </c>
      <c r="M45" s="6">
        <f>IF(A45=0,Premissas!$B$10*Premissas!$B$36*Premissas!$B$37,IF(A45&lt;=Premissas!$B$16,Premissas!$B$10*Premissas!$B$36*(1-Premissas!$B$37)/Premissas!$B$16,0))</f>
        <v/>
      </c>
      <c r="N45" s="6">
        <f>Premissas!$B$10*Premissas!$B$38/57</f>
        <v/>
      </c>
      <c r="O45" s="6">
        <f>G45*Premissas!$B$39</f>
        <v/>
      </c>
      <c r="P45" s="6">
        <f>Premissas!$B$10*Premissas!$B$40/57</f>
        <v/>
      </c>
      <c r="Q45" s="6">
        <f>G45+I45-K45-H45-L45-M45-N45-O45-P45</f>
        <v/>
      </c>
      <c r="R45" s="6">
        <f>R44+Q45</f>
        <v/>
      </c>
    </row>
    <row r="46">
      <c r="A46" t="n">
        <v>44</v>
      </c>
      <c r="B46" s="40">
        <f>(1+Premissas!$B$32)^A46</f>
        <v/>
      </c>
      <c r="C46" s="6">
        <f>C45-D45</f>
        <v/>
      </c>
      <c r="D46" s="6">
        <f>IF(A46&lt;=Premissas!$B$16,C46*Premissas!$B$29,C46/(57-A46))</f>
        <v/>
      </c>
      <c r="E46" s="6">
        <f>D46*B46</f>
        <v/>
      </c>
      <c r="F46" s="6">
        <f>IF(A46&lt;Premissas!$B$16,E46*Premissas!$B$27*Premissas!$B$30/(Premissas!$B$16-A46),0)</f>
        <v/>
      </c>
      <c r="G46" s="6">
        <f>IF(A46&lt;Premissas!$B$16,SUM($F$2:F46),IF(A46=Premissas!$B$16,SUM($E$2:E45)*Premissas!$B$27*Premissas!$B$31+E46*Premissas!$B$27+Premissas!$B$33,E46*Premissas!$B$27))</f>
        <v/>
      </c>
      <c r="H46" s="6">
        <f>IF(A46&lt;Premissas!$B$16,Premissas!$B$21*INDEX(Premissas!$D$3:$D$38,A46+1)*(1+Premissas!$B$47)^A46,0)</f>
        <v/>
      </c>
      <c r="I46" s="6">
        <f>H46*Premissas!$B$42</f>
        <v/>
      </c>
      <c r="J46" s="6">
        <f>IF(A46&lt;=Premissas!$B$16,J45*(1+Premissas!$B$46)+I46,0)</f>
        <v/>
      </c>
      <c r="K46" s="6">
        <f>IF(A46=Premissas!$B$16,J46,0)</f>
        <v/>
      </c>
      <c r="L46" s="6">
        <f>E46*Premissas!$B$35</f>
        <v/>
      </c>
      <c r="M46" s="6">
        <f>IF(A46=0,Premissas!$B$10*Premissas!$B$36*Premissas!$B$37,IF(A46&lt;=Premissas!$B$16,Premissas!$B$10*Premissas!$B$36*(1-Premissas!$B$37)/Premissas!$B$16,0))</f>
        <v/>
      </c>
      <c r="N46" s="6">
        <f>Premissas!$B$10*Premissas!$B$38/57</f>
        <v/>
      </c>
      <c r="O46" s="6">
        <f>G46*Premissas!$B$39</f>
        <v/>
      </c>
      <c r="P46" s="6">
        <f>Premissas!$B$10*Premissas!$B$40/57</f>
        <v/>
      </c>
      <c r="Q46" s="6">
        <f>G46+I46-K46-H46-L46-M46-N46-O46-P46</f>
        <v/>
      </c>
      <c r="R46" s="6">
        <f>R45+Q46</f>
        <v/>
      </c>
    </row>
    <row r="47">
      <c r="A47" t="n">
        <v>45</v>
      </c>
      <c r="B47" s="40">
        <f>(1+Premissas!$B$32)^A47</f>
        <v/>
      </c>
      <c r="C47" s="6">
        <f>C46-D46</f>
        <v/>
      </c>
      <c r="D47" s="6">
        <f>IF(A47&lt;=Premissas!$B$16,C47*Premissas!$B$29,C47/(57-A47))</f>
        <v/>
      </c>
      <c r="E47" s="6">
        <f>D47*B47</f>
        <v/>
      </c>
      <c r="F47" s="6">
        <f>IF(A47&lt;Premissas!$B$16,E47*Premissas!$B$27*Premissas!$B$30/(Premissas!$B$16-A47),0)</f>
        <v/>
      </c>
      <c r="G47" s="6">
        <f>IF(A47&lt;Premissas!$B$16,SUM($F$2:F47),IF(A47=Premissas!$B$16,SUM($E$2:E46)*Premissas!$B$27*Premissas!$B$31+E47*Premissas!$B$27+Premissas!$B$33,E47*Premissas!$B$27))</f>
        <v/>
      </c>
      <c r="H47" s="6">
        <f>IF(A47&lt;Premissas!$B$16,Premissas!$B$21*INDEX(Premissas!$D$3:$D$38,A47+1)*(1+Premissas!$B$47)^A47,0)</f>
        <v/>
      </c>
      <c r="I47" s="6">
        <f>H47*Premissas!$B$42</f>
        <v/>
      </c>
      <c r="J47" s="6">
        <f>IF(A47&lt;=Premissas!$B$16,J46*(1+Premissas!$B$46)+I47,0)</f>
        <v/>
      </c>
      <c r="K47" s="6">
        <f>IF(A47=Premissas!$B$16,J47,0)</f>
        <v/>
      </c>
      <c r="L47" s="6">
        <f>E47*Premissas!$B$35</f>
        <v/>
      </c>
      <c r="M47" s="6">
        <f>IF(A47=0,Premissas!$B$10*Premissas!$B$36*Premissas!$B$37,IF(A47&lt;=Premissas!$B$16,Premissas!$B$10*Premissas!$B$36*(1-Premissas!$B$37)/Premissas!$B$16,0))</f>
        <v/>
      </c>
      <c r="N47" s="6">
        <f>Premissas!$B$10*Premissas!$B$38/57</f>
        <v/>
      </c>
      <c r="O47" s="6">
        <f>G47*Premissas!$B$39</f>
        <v/>
      </c>
      <c r="P47" s="6">
        <f>Premissas!$B$10*Premissas!$B$40/57</f>
        <v/>
      </c>
      <c r="Q47" s="6">
        <f>G47+I47-K47-H47-L47-M47-N47-O47-P47</f>
        <v/>
      </c>
      <c r="R47" s="6">
        <f>R46+Q47</f>
        <v/>
      </c>
    </row>
    <row r="48">
      <c r="A48" t="n">
        <v>46</v>
      </c>
      <c r="B48" s="40">
        <f>(1+Premissas!$B$32)^A48</f>
        <v/>
      </c>
      <c r="C48" s="6">
        <f>C47-D47</f>
        <v/>
      </c>
      <c r="D48" s="6">
        <f>IF(A48&lt;=Premissas!$B$16,C48*Premissas!$B$29,C48/(57-A48))</f>
        <v/>
      </c>
      <c r="E48" s="6">
        <f>D48*B48</f>
        <v/>
      </c>
      <c r="F48" s="6">
        <f>IF(A48&lt;Premissas!$B$16,E48*Premissas!$B$27*Premissas!$B$30/(Premissas!$B$16-A48),0)</f>
        <v/>
      </c>
      <c r="G48" s="6">
        <f>IF(A48&lt;Premissas!$B$16,SUM($F$2:F48),IF(A48=Premissas!$B$16,SUM($E$2:E47)*Premissas!$B$27*Premissas!$B$31+E48*Premissas!$B$27+Premissas!$B$33,E48*Premissas!$B$27))</f>
        <v/>
      </c>
      <c r="H48" s="6">
        <f>IF(A48&lt;Premissas!$B$16,Premissas!$B$21*INDEX(Premissas!$D$3:$D$38,A48+1)*(1+Premissas!$B$47)^A48,0)</f>
        <v/>
      </c>
      <c r="I48" s="6">
        <f>H48*Premissas!$B$42</f>
        <v/>
      </c>
      <c r="J48" s="6">
        <f>IF(A48&lt;=Premissas!$B$16,J47*(1+Premissas!$B$46)+I48,0)</f>
        <v/>
      </c>
      <c r="K48" s="6">
        <f>IF(A48=Premissas!$B$16,J48,0)</f>
        <v/>
      </c>
      <c r="L48" s="6">
        <f>E48*Premissas!$B$35</f>
        <v/>
      </c>
      <c r="M48" s="6">
        <f>IF(A48=0,Premissas!$B$10*Premissas!$B$36*Premissas!$B$37,IF(A48&lt;=Premissas!$B$16,Premissas!$B$10*Premissas!$B$36*(1-Premissas!$B$37)/Premissas!$B$16,0))</f>
        <v/>
      </c>
      <c r="N48" s="6">
        <f>Premissas!$B$10*Premissas!$B$38/57</f>
        <v/>
      </c>
      <c r="O48" s="6">
        <f>G48*Premissas!$B$39</f>
        <v/>
      </c>
      <c r="P48" s="6">
        <f>Premissas!$B$10*Premissas!$B$40/57</f>
        <v/>
      </c>
      <c r="Q48" s="6">
        <f>G48+I48-K48-H48-L48-M48-N48-O48-P48</f>
        <v/>
      </c>
      <c r="R48" s="6">
        <f>R47+Q48</f>
        <v/>
      </c>
    </row>
    <row r="49">
      <c r="A49" t="n">
        <v>47</v>
      </c>
      <c r="B49" s="40">
        <f>(1+Premissas!$B$32)^A49</f>
        <v/>
      </c>
      <c r="C49" s="6">
        <f>C48-D48</f>
        <v/>
      </c>
      <c r="D49" s="6">
        <f>IF(A49&lt;=Premissas!$B$16,C49*Premissas!$B$29,C49/(57-A49))</f>
        <v/>
      </c>
      <c r="E49" s="6">
        <f>D49*B49</f>
        <v/>
      </c>
      <c r="F49" s="6">
        <f>IF(A49&lt;Premissas!$B$16,E49*Premissas!$B$27*Premissas!$B$30/(Premissas!$B$16-A49),0)</f>
        <v/>
      </c>
      <c r="G49" s="6">
        <f>IF(A49&lt;Premissas!$B$16,SUM($F$2:F49),IF(A49=Premissas!$B$16,SUM($E$2:E48)*Premissas!$B$27*Premissas!$B$31+E49*Premissas!$B$27+Premissas!$B$33,E49*Premissas!$B$27))</f>
        <v/>
      </c>
      <c r="H49" s="6">
        <f>IF(A49&lt;Premissas!$B$16,Premissas!$B$21*INDEX(Premissas!$D$3:$D$38,A49+1)*(1+Premissas!$B$47)^A49,0)</f>
        <v/>
      </c>
      <c r="I49" s="6">
        <f>H49*Premissas!$B$42</f>
        <v/>
      </c>
      <c r="J49" s="6">
        <f>IF(A49&lt;=Premissas!$B$16,J48*(1+Premissas!$B$46)+I49,0)</f>
        <v/>
      </c>
      <c r="K49" s="6">
        <f>IF(A49=Premissas!$B$16,J49,0)</f>
        <v/>
      </c>
      <c r="L49" s="6">
        <f>E49*Premissas!$B$35</f>
        <v/>
      </c>
      <c r="M49" s="6">
        <f>IF(A49=0,Premissas!$B$10*Premissas!$B$36*Premissas!$B$37,IF(A49&lt;=Premissas!$B$16,Premissas!$B$10*Premissas!$B$36*(1-Premissas!$B$37)/Premissas!$B$16,0))</f>
        <v/>
      </c>
      <c r="N49" s="6">
        <f>Premissas!$B$10*Premissas!$B$38/57</f>
        <v/>
      </c>
      <c r="O49" s="6">
        <f>G49*Premissas!$B$39</f>
        <v/>
      </c>
      <c r="P49" s="6">
        <f>Premissas!$B$10*Premissas!$B$40/57</f>
        <v/>
      </c>
      <c r="Q49" s="6">
        <f>G49+I49-K49-H49-L49-M49-N49-O49-P49</f>
        <v/>
      </c>
      <c r="R49" s="6">
        <f>R48+Q49</f>
        <v/>
      </c>
    </row>
    <row r="50">
      <c r="A50" t="n">
        <v>48</v>
      </c>
      <c r="B50" s="40">
        <f>(1+Premissas!$B$32)^A50</f>
        <v/>
      </c>
      <c r="C50" s="6">
        <f>C49-D49</f>
        <v/>
      </c>
      <c r="D50" s="6">
        <f>IF(A50&lt;=Premissas!$B$16,C50*Premissas!$B$29,C50/(57-A50))</f>
        <v/>
      </c>
      <c r="E50" s="6">
        <f>D50*B50</f>
        <v/>
      </c>
      <c r="F50" s="6">
        <f>IF(A50&lt;Premissas!$B$16,E50*Premissas!$B$27*Premissas!$B$30/(Premissas!$B$16-A50),0)</f>
        <v/>
      </c>
      <c r="G50" s="6">
        <f>IF(A50&lt;Premissas!$B$16,SUM($F$2:F50),IF(A50=Premissas!$B$16,SUM($E$2:E49)*Premissas!$B$27*Premissas!$B$31+E50*Premissas!$B$27+Premissas!$B$33,E50*Premissas!$B$27))</f>
        <v/>
      </c>
      <c r="H50" s="6">
        <f>IF(A50&lt;Premissas!$B$16,Premissas!$B$21*INDEX(Premissas!$D$3:$D$38,A50+1)*(1+Premissas!$B$47)^A50,0)</f>
        <v/>
      </c>
      <c r="I50" s="6">
        <f>H50*Premissas!$B$42</f>
        <v/>
      </c>
      <c r="J50" s="6">
        <f>IF(A50&lt;=Premissas!$B$16,J49*(1+Premissas!$B$46)+I50,0)</f>
        <v/>
      </c>
      <c r="K50" s="6">
        <f>IF(A50=Premissas!$B$16,J50,0)</f>
        <v/>
      </c>
      <c r="L50" s="6">
        <f>E50*Premissas!$B$35</f>
        <v/>
      </c>
      <c r="M50" s="6">
        <f>IF(A50=0,Premissas!$B$10*Premissas!$B$36*Premissas!$B$37,IF(A50&lt;=Premissas!$B$16,Premissas!$B$10*Premissas!$B$36*(1-Premissas!$B$37)/Premissas!$B$16,0))</f>
        <v/>
      </c>
      <c r="N50" s="6">
        <f>Premissas!$B$10*Premissas!$B$38/57</f>
        <v/>
      </c>
      <c r="O50" s="6">
        <f>G50*Premissas!$B$39</f>
        <v/>
      </c>
      <c r="P50" s="6">
        <f>Premissas!$B$10*Premissas!$B$40/57</f>
        <v/>
      </c>
      <c r="Q50" s="6">
        <f>G50+I50-K50-H50-L50-M50-N50-O50-P50</f>
        <v/>
      </c>
      <c r="R50" s="6">
        <f>R49+Q50</f>
        <v/>
      </c>
    </row>
    <row r="51">
      <c r="A51" t="n">
        <v>49</v>
      </c>
      <c r="B51" s="40">
        <f>(1+Premissas!$B$32)^A51</f>
        <v/>
      </c>
      <c r="C51" s="6">
        <f>C50-D50</f>
        <v/>
      </c>
      <c r="D51" s="6">
        <f>IF(A51&lt;=Premissas!$B$16,C51*Premissas!$B$29,C51/(57-A51))</f>
        <v/>
      </c>
      <c r="E51" s="6">
        <f>D51*B51</f>
        <v/>
      </c>
      <c r="F51" s="6">
        <f>IF(A51&lt;Premissas!$B$16,E51*Premissas!$B$27*Premissas!$B$30/(Premissas!$B$16-A51),0)</f>
        <v/>
      </c>
      <c r="G51" s="6">
        <f>IF(A51&lt;Premissas!$B$16,SUM($F$2:F51),IF(A51=Premissas!$B$16,SUM($E$2:E50)*Premissas!$B$27*Premissas!$B$31+E51*Premissas!$B$27+Premissas!$B$33,E51*Premissas!$B$27))</f>
        <v/>
      </c>
      <c r="H51" s="6">
        <f>IF(A51&lt;Premissas!$B$16,Premissas!$B$21*INDEX(Premissas!$D$3:$D$38,A51+1)*(1+Premissas!$B$47)^A51,0)</f>
        <v/>
      </c>
      <c r="I51" s="6">
        <f>H51*Premissas!$B$42</f>
        <v/>
      </c>
      <c r="J51" s="6">
        <f>IF(A51&lt;=Premissas!$B$16,J50*(1+Premissas!$B$46)+I51,0)</f>
        <v/>
      </c>
      <c r="K51" s="6">
        <f>IF(A51=Premissas!$B$16,J51,0)</f>
        <v/>
      </c>
      <c r="L51" s="6">
        <f>E51*Premissas!$B$35</f>
        <v/>
      </c>
      <c r="M51" s="6">
        <f>IF(A51=0,Premissas!$B$10*Premissas!$B$36*Premissas!$B$37,IF(A51&lt;=Premissas!$B$16,Premissas!$B$10*Premissas!$B$36*(1-Premissas!$B$37)/Premissas!$B$16,0))</f>
        <v/>
      </c>
      <c r="N51" s="6">
        <f>Premissas!$B$10*Premissas!$B$38/57</f>
        <v/>
      </c>
      <c r="O51" s="6">
        <f>G51*Premissas!$B$39</f>
        <v/>
      </c>
      <c r="P51" s="6">
        <f>Premissas!$B$10*Premissas!$B$40/57</f>
        <v/>
      </c>
      <c r="Q51" s="6">
        <f>G51+I51-K51-H51-L51-M51-N51-O51-P51</f>
        <v/>
      </c>
      <c r="R51" s="6">
        <f>R50+Q51</f>
        <v/>
      </c>
    </row>
    <row r="52">
      <c r="A52" t="n">
        <v>50</v>
      </c>
      <c r="B52" s="40">
        <f>(1+Premissas!$B$32)^A52</f>
        <v/>
      </c>
      <c r="C52" s="6">
        <f>C51-D51</f>
        <v/>
      </c>
      <c r="D52" s="6">
        <f>IF(A52&lt;=Premissas!$B$16,C52*Premissas!$B$29,C52/(57-A52))</f>
        <v/>
      </c>
      <c r="E52" s="6">
        <f>D52*B52</f>
        <v/>
      </c>
      <c r="F52" s="6">
        <f>IF(A52&lt;Premissas!$B$16,E52*Premissas!$B$27*Premissas!$B$30/(Premissas!$B$16-A52),0)</f>
        <v/>
      </c>
      <c r="G52" s="6">
        <f>IF(A52&lt;Premissas!$B$16,SUM($F$2:F52),IF(A52=Premissas!$B$16,SUM($E$2:E51)*Premissas!$B$27*Premissas!$B$31+E52*Premissas!$B$27+Premissas!$B$33,E52*Premissas!$B$27))</f>
        <v/>
      </c>
      <c r="H52" s="6">
        <f>IF(A52&lt;Premissas!$B$16,Premissas!$B$21*INDEX(Premissas!$D$3:$D$38,A52+1)*(1+Premissas!$B$47)^A52,0)</f>
        <v/>
      </c>
      <c r="I52" s="6">
        <f>H52*Premissas!$B$42</f>
        <v/>
      </c>
      <c r="J52" s="6">
        <f>IF(A52&lt;=Premissas!$B$16,J51*(1+Premissas!$B$46)+I52,0)</f>
        <v/>
      </c>
      <c r="K52" s="6">
        <f>IF(A52=Premissas!$B$16,J52,0)</f>
        <v/>
      </c>
      <c r="L52" s="6">
        <f>E52*Premissas!$B$35</f>
        <v/>
      </c>
      <c r="M52" s="6">
        <f>IF(A52=0,Premissas!$B$10*Premissas!$B$36*Premissas!$B$37,IF(A52&lt;=Premissas!$B$16,Premissas!$B$10*Premissas!$B$36*(1-Premissas!$B$37)/Premissas!$B$16,0))</f>
        <v/>
      </c>
      <c r="N52" s="6">
        <f>Premissas!$B$10*Premissas!$B$38/57</f>
        <v/>
      </c>
      <c r="O52" s="6">
        <f>G52*Premissas!$B$39</f>
        <v/>
      </c>
      <c r="P52" s="6">
        <f>Premissas!$B$10*Premissas!$B$40/57</f>
        <v/>
      </c>
      <c r="Q52" s="6">
        <f>G52+I52-K52-H52-L52-M52-N52-O52-P52</f>
        <v/>
      </c>
      <c r="R52" s="6">
        <f>R51+Q52</f>
        <v/>
      </c>
    </row>
    <row r="53">
      <c r="A53" t="n">
        <v>51</v>
      </c>
      <c r="B53" s="40">
        <f>(1+Premissas!$B$32)^A53</f>
        <v/>
      </c>
      <c r="C53" s="6">
        <f>C52-D52</f>
        <v/>
      </c>
      <c r="D53" s="6">
        <f>IF(A53&lt;=Premissas!$B$16,C53*Premissas!$B$29,C53/(57-A53))</f>
        <v/>
      </c>
      <c r="E53" s="6">
        <f>D53*B53</f>
        <v/>
      </c>
      <c r="F53" s="6">
        <f>IF(A53&lt;Premissas!$B$16,E53*Premissas!$B$27*Premissas!$B$30/(Premissas!$B$16-A53),0)</f>
        <v/>
      </c>
      <c r="G53" s="6">
        <f>IF(A53&lt;Premissas!$B$16,SUM($F$2:F53),IF(A53=Premissas!$B$16,SUM($E$2:E52)*Premissas!$B$27*Premissas!$B$31+E53*Premissas!$B$27+Premissas!$B$33,E53*Premissas!$B$27))</f>
        <v/>
      </c>
      <c r="H53" s="6">
        <f>IF(A53&lt;Premissas!$B$16,Premissas!$B$21*INDEX(Premissas!$D$3:$D$38,A53+1)*(1+Premissas!$B$47)^A53,0)</f>
        <v/>
      </c>
      <c r="I53" s="6">
        <f>H53*Premissas!$B$42</f>
        <v/>
      </c>
      <c r="J53" s="6">
        <f>IF(A53&lt;=Premissas!$B$16,J52*(1+Premissas!$B$46)+I53,0)</f>
        <v/>
      </c>
      <c r="K53" s="6">
        <f>IF(A53=Premissas!$B$16,J53,0)</f>
        <v/>
      </c>
      <c r="L53" s="6">
        <f>E53*Premissas!$B$35</f>
        <v/>
      </c>
      <c r="M53" s="6">
        <f>IF(A53=0,Premissas!$B$10*Premissas!$B$36*Premissas!$B$37,IF(A53&lt;=Premissas!$B$16,Premissas!$B$10*Premissas!$B$36*(1-Premissas!$B$37)/Premissas!$B$16,0))</f>
        <v/>
      </c>
      <c r="N53" s="6">
        <f>Premissas!$B$10*Premissas!$B$38/57</f>
        <v/>
      </c>
      <c r="O53" s="6">
        <f>G53*Premissas!$B$39</f>
        <v/>
      </c>
      <c r="P53" s="6">
        <f>Premissas!$B$10*Premissas!$B$40/57</f>
        <v/>
      </c>
      <c r="Q53" s="6">
        <f>G53+I53-K53-H53-L53-M53-N53-O53-P53</f>
        <v/>
      </c>
      <c r="R53" s="6">
        <f>R52+Q53</f>
        <v/>
      </c>
    </row>
    <row r="54">
      <c r="A54" t="n">
        <v>52</v>
      </c>
      <c r="B54" s="40">
        <f>(1+Premissas!$B$32)^A54</f>
        <v/>
      </c>
      <c r="C54" s="6">
        <f>C53-D53</f>
        <v/>
      </c>
      <c r="D54" s="6">
        <f>IF(A54&lt;=Premissas!$B$16,C54*Premissas!$B$29,C54/(57-A54))</f>
        <v/>
      </c>
      <c r="E54" s="6">
        <f>D54*B54</f>
        <v/>
      </c>
      <c r="F54" s="6">
        <f>IF(A54&lt;Premissas!$B$16,E54*Premissas!$B$27*Premissas!$B$30/(Premissas!$B$16-A54),0)</f>
        <v/>
      </c>
      <c r="G54" s="6">
        <f>IF(A54&lt;Premissas!$B$16,SUM($F$2:F54),IF(A54=Premissas!$B$16,SUM($E$2:E53)*Premissas!$B$27*Premissas!$B$31+E54*Premissas!$B$27+Premissas!$B$33,E54*Premissas!$B$27))</f>
        <v/>
      </c>
      <c r="H54" s="6">
        <f>IF(A54&lt;Premissas!$B$16,Premissas!$B$21*INDEX(Premissas!$D$3:$D$38,A54+1)*(1+Premissas!$B$47)^A54,0)</f>
        <v/>
      </c>
      <c r="I54" s="6">
        <f>H54*Premissas!$B$42</f>
        <v/>
      </c>
      <c r="J54" s="6">
        <f>IF(A54&lt;=Premissas!$B$16,J53*(1+Premissas!$B$46)+I54,0)</f>
        <v/>
      </c>
      <c r="K54" s="6">
        <f>IF(A54=Premissas!$B$16,J54,0)</f>
        <v/>
      </c>
      <c r="L54" s="6">
        <f>E54*Premissas!$B$35</f>
        <v/>
      </c>
      <c r="M54" s="6">
        <f>IF(A54=0,Premissas!$B$10*Premissas!$B$36*Premissas!$B$37,IF(A54&lt;=Premissas!$B$16,Premissas!$B$10*Premissas!$B$36*(1-Premissas!$B$37)/Premissas!$B$16,0))</f>
        <v/>
      </c>
      <c r="N54" s="6">
        <f>Premissas!$B$10*Premissas!$B$38/57</f>
        <v/>
      </c>
      <c r="O54" s="6">
        <f>G54*Premissas!$B$39</f>
        <v/>
      </c>
      <c r="P54" s="6">
        <f>Premissas!$B$10*Premissas!$B$40/57</f>
        <v/>
      </c>
      <c r="Q54" s="6">
        <f>G54+I54-K54-H54-L54-M54-N54-O54-P54</f>
        <v/>
      </c>
      <c r="R54" s="6">
        <f>R53+Q54</f>
        <v/>
      </c>
    </row>
    <row r="55">
      <c r="A55" t="n">
        <v>53</v>
      </c>
      <c r="B55" s="40">
        <f>(1+Premissas!$B$32)^A55</f>
        <v/>
      </c>
      <c r="C55" s="6">
        <f>C54-D54</f>
        <v/>
      </c>
      <c r="D55" s="6">
        <f>IF(A55&lt;=Premissas!$B$16,C55*Premissas!$B$29,C55/(57-A55))</f>
        <v/>
      </c>
      <c r="E55" s="6">
        <f>D55*B55</f>
        <v/>
      </c>
      <c r="F55" s="6">
        <f>IF(A55&lt;Premissas!$B$16,E55*Premissas!$B$27*Premissas!$B$30/(Premissas!$B$16-A55),0)</f>
        <v/>
      </c>
      <c r="G55" s="6">
        <f>IF(A55&lt;Premissas!$B$16,SUM($F$2:F55),IF(A55=Premissas!$B$16,SUM($E$2:E54)*Premissas!$B$27*Premissas!$B$31+E55*Premissas!$B$27+Premissas!$B$33,E55*Premissas!$B$27))</f>
        <v/>
      </c>
      <c r="H55" s="6">
        <f>IF(A55&lt;Premissas!$B$16,Premissas!$B$21*INDEX(Premissas!$D$3:$D$38,A55+1)*(1+Premissas!$B$47)^A55,0)</f>
        <v/>
      </c>
      <c r="I55" s="6">
        <f>H55*Premissas!$B$42</f>
        <v/>
      </c>
      <c r="J55" s="6">
        <f>IF(A55&lt;=Premissas!$B$16,J54*(1+Premissas!$B$46)+I55,0)</f>
        <v/>
      </c>
      <c r="K55" s="6">
        <f>IF(A55=Premissas!$B$16,J55,0)</f>
        <v/>
      </c>
      <c r="L55" s="6">
        <f>E55*Premissas!$B$35</f>
        <v/>
      </c>
      <c r="M55" s="6">
        <f>IF(A55=0,Premissas!$B$10*Premissas!$B$36*Premissas!$B$37,IF(A55&lt;=Premissas!$B$16,Premissas!$B$10*Premissas!$B$36*(1-Premissas!$B$37)/Premissas!$B$16,0))</f>
        <v/>
      </c>
      <c r="N55" s="6">
        <f>Premissas!$B$10*Premissas!$B$38/57</f>
        <v/>
      </c>
      <c r="O55" s="6">
        <f>G55*Premissas!$B$39</f>
        <v/>
      </c>
      <c r="P55" s="6">
        <f>Premissas!$B$10*Premissas!$B$40/57</f>
        <v/>
      </c>
      <c r="Q55" s="6">
        <f>G55+I55-K55-H55-L55-M55-N55-O55-P55</f>
        <v/>
      </c>
      <c r="R55" s="6">
        <f>R54+Q55</f>
        <v/>
      </c>
    </row>
    <row r="56">
      <c r="A56" t="n">
        <v>54</v>
      </c>
      <c r="B56" s="40">
        <f>(1+Premissas!$B$32)^A56</f>
        <v/>
      </c>
      <c r="C56" s="6">
        <f>C55-D55</f>
        <v/>
      </c>
      <c r="D56" s="6">
        <f>IF(A56&lt;=Premissas!$B$16,C56*Premissas!$B$29,C56/(57-A56))</f>
        <v/>
      </c>
      <c r="E56" s="6">
        <f>D56*B56</f>
        <v/>
      </c>
      <c r="F56" s="6">
        <f>IF(A56&lt;Premissas!$B$16,E56*Premissas!$B$27*Premissas!$B$30/(Premissas!$B$16-A56),0)</f>
        <v/>
      </c>
      <c r="G56" s="6">
        <f>IF(A56&lt;Premissas!$B$16,SUM($F$2:F56),IF(A56=Premissas!$B$16,SUM($E$2:E55)*Premissas!$B$27*Premissas!$B$31+E56*Premissas!$B$27+Premissas!$B$33,E56*Premissas!$B$27))</f>
        <v/>
      </c>
      <c r="H56" s="6">
        <f>IF(A56&lt;Premissas!$B$16,Premissas!$B$21*INDEX(Premissas!$D$3:$D$38,A56+1)*(1+Premissas!$B$47)^A56,0)</f>
        <v/>
      </c>
      <c r="I56" s="6">
        <f>H56*Premissas!$B$42</f>
        <v/>
      </c>
      <c r="J56" s="6">
        <f>IF(A56&lt;=Premissas!$B$16,J55*(1+Premissas!$B$46)+I56,0)</f>
        <v/>
      </c>
      <c r="K56" s="6">
        <f>IF(A56=Premissas!$B$16,J56,0)</f>
        <v/>
      </c>
      <c r="L56" s="6">
        <f>E56*Premissas!$B$35</f>
        <v/>
      </c>
      <c r="M56" s="6">
        <f>IF(A56=0,Premissas!$B$10*Premissas!$B$36*Premissas!$B$37,IF(A56&lt;=Premissas!$B$16,Premissas!$B$10*Premissas!$B$36*(1-Premissas!$B$37)/Premissas!$B$16,0))</f>
        <v/>
      </c>
      <c r="N56" s="6">
        <f>Premissas!$B$10*Premissas!$B$38/57</f>
        <v/>
      </c>
      <c r="O56" s="6">
        <f>G56*Premissas!$B$39</f>
        <v/>
      </c>
      <c r="P56" s="6">
        <f>Premissas!$B$10*Premissas!$B$40/57</f>
        <v/>
      </c>
      <c r="Q56" s="6">
        <f>G56+I56-K56-H56-L56-M56-N56-O56-P56</f>
        <v/>
      </c>
      <c r="R56" s="6">
        <f>R55+Q56</f>
        <v/>
      </c>
    </row>
    <row r="57">
      <c r="A57" t="n">
        <v>55</v>
      </c>
      <c r="B57" s="40">
        <f>(1+Premissas!$B$32)^A57</f>
        <v/>
      </c>
      <c r="C57" s="6">
        <f>C56-D56</f>
        <v/>
      </c>
      <c r="D57" s="6">
        <f>IF(A57&lt;=Premissas!$B$16,C57*Premissas!$B$29,C57/(57-A57))</f>
        <v/>
      </c>
      <c r="E57" s="6">
        <f>D57*B57</f>
        <v/>
      </c>
      <c r="F57" s="6">
        <f>IF(A57&lt;Premissas!$B$16,E57*Premissas!$B$27*Premissas!$B$30/(Premissas!$B$16-A57),0)</f>
        <v/>
      </c>
      <c r="G57" s="6">
        <f>IF(A57&lt;Premissas!$B$16,SUM($F$2:F57),IF(A57=Premissas!$B$16,SUM($E$2:E56)*Premissas!$B$27*Premissas!$B$31+E57*Premissas!$B$27+Premissas!$B$33,E57*Premissas!$B$27))</f>
        <v/>
      </c>
      <c r="H57" s="6">
        <f>IF(A57&lt;Premissas!$B$16,Premissas!$B$21*INDEX(Premissas!$D$3:$D$38,A57+1)*(1+Premissas!$B$47)^A57,0)</f>
        <v/>
      </c>
      <c r="I57" s="6">
        <f>H57*Premissas!$B$42</f>
        <v/>
      </c>
      <c r="J57" s="6">
        <f>IF(A57&lt;=Premissas!$B$16,J56*(1+Premissas!$B$46)+I57,0)</f>
        <v/>
      </c>
      <c r="K57" s="6">
        <f>IF(A57=Premissas!$B$16,J57,0)</f>
        <v/>
      </c>
      <c r="L57" s="6">
        <f>E57*Premissas!$B$35</f>
        <v/>
      </c>
      <c r="M57" s="6">
        <f>IF(A57=0,Premissas!$B$10*Premissas!$B$36*Premissas!$B$37,IF(A57&lt;=Premissas!$B$16,Premissas!$B$10*Premissas!$B$36*(1-Premissas!$B$37)/Premissas!$B$16,0))</f>
        <v/>
      </c>
      <c r="N57" s="6">
        <f>Premissas!$B$10*Premissas!$B$38/57</f>
        <v/>
      </c>
      <c r="O57" s="6">
        <f>G57*Premissas!$B$39</f>
        <v/>
      </c>
      <c r="P57" s="6">
        <f>Premissas!$B$10*Premissas!$B$40/57</f>
        <v/>
      </c>
      <c r="Q57" s="6">
        <f>G57+I57-K57-H57-L57-M57-N57-O57-P57</f>
        <v/>
      </c>
      <c r="R57" s="6">
        <f>R56+Q57</f>
        <v/>
      </c>
    </row>
    <row r="58">
      <c r="A58" t="n">
        <v>56</v>
      </c>
      <c r="B58" s="40">
        <f>(1+Premissas!$B$32)^A58</f>
        <v/>
      </c>
      <c r="C58" s="6">
        <f>C57-D57</f>
        <v/>
      </c>
      <c r="D58" s="6">
        <f>IF(A58&lt;=Premissas!$B$16,C58*Premissas!$B$29,C58/(57-A58))</f>
        <v/>
      </c>
      <c r="E58" s="6">
        <f>D58*B58</f>
        <v/>
      </c>
      <c r="F58" s="6">
        <f>IF(A58&lt;Premissas!$B$16,E58*Premissas!$B$27*Premissas!$B$30/(Premissas!$B$16-A58),0)</f>
        <v/>
      </c>
      <c r="G58" s="6">
        <f>IF(A58&lt;Premissas!$B$16,SUM($F$2:F58),IF(A58=Premissas!$B$16,SUM($E$2:E57)*Premissas!$B$27*Premissas!$B$31+E58*Premissas!$B$27+Premissas!$B$33,E58*Premissas!$B$27))</f>
        <v/>
      </c>
      <c r="H58" s="6">
        <f>IF(A58&lt;Premissas!$B$16,Premissas!$B$21*INDEX(Premissas!$D$3:$D$38,A58+1)*(1+Premissas!$B$47)^A58,0)</f>
        <v/>
      </c>
      <c r="I58" s="6">
        <f>H58*Premissas!$B$42</f>
        <v/>
      </c>
      <c r="J58" s="6">
        <f>IF(A58&lt;=Premissas!$B$16,J57*(1+Premissas!$B$46)+I58,0)</f>
        <v/>
      </c>
      <c r="K58" s="6">
        <f>IF(A58=Premissas!$B$16,J58,0)</f>
        <v/>
      </c>
      <c r="L58" s="6">
        <f>E58*Premissas!$B$35</f>
        <v/>
      </c>
      <c r="M58" s="6">
        <f>IF(A58=0,Premissas!$B$10*Premissas!$B$36*Premissas!$B$37,IF(A58&lt;=Premissas!$B$16,Premissas!$B$10*Premissas!$B$36*(1-Premissas!$B$37)/Premissas!$B$16,0))</f>
        <v/>
      </c>
      <c r="N58" s="6">
        <f>Premissas!$B$10*Premissas!$B$38/57</f>
        <v/>
      </c>
      <c r="O58" s="6">
        <f>G58*Premissas!$B$39</f>
        <v/>
      </c>
      <c r="P58" s="6">
        <f>Premissas!$B$10*Premissas!$B$40/57</f>
        <v/>
      </c>
      <c r="Q58" s="6">
        <f>G58+I58-K58-H58-L58-M58-N58-O58-P58</f>
        <v/>
      </c>
      <c r="R58" s="6">
        <f>R57+Q58</f>
        <v/>
      </c>
    </row>
    <row r="61">
      <c r="A61" s="11" t="inlineStr">
        <is>
          <t>RESULTADO (R$)</t>
        </is>
      </c>
      <c r="B61" s="33">
        <f>SUM(Q2:Q58)</f>
        <v/>
      </c>
    </row>
    <row r="62">
      <c r="A62" s="11" t="inlineStr">
        <is>
          <t>Margem s/ VGV</t>
        </is>
      </c>
      <c r="B62" s="27">
        <f>B61/Premissas!$B$10</f>
        <v/>
      </c>
    </row>
    <row r="63">
      <c r="A63" s="11" t="inlineStr">
        <is>
          <t>Exposição máxima de caixa próprio (R$)</t>
        </is>
      </c>
      <c r="B63" s="33">
        <f>-MIN(R2:R58)</f>
        <v/>
      </c>
    </row>
    <row r="64">
      <c r="A64" s="11" t="inlineStr">
        <is>
          <t>Mês do pico</t>
        </is>
      </c>
      <c r="B64" s="4">
        <f>MATCH(MIN(R2:R58),R2:R58,0)-1</f>
        <v/>
      </c>
    </row>
    <row r="65">
      <c r="A65" s="11" t="inlineStr">
        <is>
          <t>Payback (mês)</t>
        </is>
      </c>
      <c r="B65" s="4">
        <f>COUNTIF(R2:R58,"&lt;0")</f>
        <v/>
      </c>
    </row>
    <row r="66">
      <c r="A66" s="11" t="inlineStr">
        <is>
          <t>TIR mensal</t>
        </is>
      </c>
      <c r="B66" s="41">
        <f>IRR(Q2:Q58,0.03)</f>
        <v/>
      </c>
    </row>
    <row r="67">
      <c r="A67" s="11" t="inlineStr">
        <is>
          <t>TIR anual</t>
        </is>
      </c>
      <c r="B67" s="27">
        <f>(1+B66)^12-1</f>
        <v/>
      </c>
    </row>
    <row r="68">
      <c r="A68" s="11" t="inlineStr">
        <is>
          <t>Juros do plano empresário (R$)</t>
        </is>
      </c>
      <c r="B68" s="33">
        <f>SUM(K2:K58)-SUM(I2:I58)</f>
        <v/>
      </c>
    </row>
    <row r="69">
      <c r="A69" s="11" t="inlineStr">
        <is>
          <t>Obra desembolsada (R$)</t>
        </is>
      </c>
      <c r="B69" s="33">
        <f>SUM(H2:H58)</f>
        <v/>
      </c>
    </row>
    <row r="70">
      <c r="A70" s="11" t="inlineStr">
        <is>
          <t>Receita líquida da SPE (R$)</t>
        </is>
      </c>
      <c r="B70" s="33">
        <f>SUM(G2:G58)</f>
        <v/>
      </c>
    </row>
    <row r="72">
      <c r="A72" s="2" t="inlineStr">
        <is>
          <t>Confere com o modelo committado (pilha E-R, viabilidade_completa_modelo.py): resultado R$ 24.3 M · 20.4 % · exposição R$ 16.3 M (M19) · TIR 39 % a.a. · juros R$ 9.3 M. O --autoteste recalcula esta aba no LibreOffice e reprova se divergir &gt; 0,5 %.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18" customWidth="1" min="3" max="3"/>
    <col width="26" customWidth="1" min="4" max="4"/>
    <col width="44" customWidth="1" min="5" max="5"/>
    <col width="30" customWidth="1" min="6" max="6"/>
    <col width="15" customWidth="1" min="7" max="7"/>
    <col width="15" customWidth="1" min="8" max="8"/>
  </cols>
  <sheetData>
    <row r="1">
      <c r="A1" s="1" t="inlineStr">
        <is>
          <t>FINANCIAMENTO À PRODUÇÃO — as pilhas medidas no modelo (mesma régua, mesma obra, mesmo produto)</t>
        </is>
      </c>
    </row>
    <row r="2">
      <c r="A2" s="2" t="inlineStr">
        <is>
          <t>TIR e exposição de pilha são MEDIDAS no modelo Python (não fórmula de célula). A aba Fluxo Mensal reproduz a pilha E ao vivo; mude fin_pct/prog nas Premissas para ver as outras.</t>
        </is>
      </c>
    </row>
    <row r="4">
      <c r="A4" s="3" t="inlineStr">
        <is>
          <t>Pilha</t>
        </is>
      </c>
      <c r="B4" s="3" t="inlineStr">
        <is>
          <t>Resultado (R$)</t>
        </is>
      </c>
      <c r="C4" s="3" t="inlineStr">
        <is>
          <t>Margem</t>
        </is>
      </c>
      <c r="D4" s="3" t="inlineStr">
        <is>
          <t>TIR a.a.</t>
        </is>
      </c>
      <c r="E4" s="3" t="inlineStr">
        <is>
          <t>Exposição máx. (R$)</t>
        </is>
      </c>
      <c r="F4" s="3" t="inlineStr">
        <is>
          <t>Mês do pico</t>
        </is>
      </c>
      <c r="G4" s="3" t="inlineStr">
        <is>
          <t>Payback</t>
        </is>
      </c>
      <c r="H4" s="3" t="inlineStr">
        <is>
          <t>Juros (R$)</t>
        </is>
      </c>
    </row>
    <row r="5">
      <c r="A5" s="14" t="inlineStr">
        <is>
          <t>A · sem banco (caixa próprio)</t>
        </is>
      </c>
      <c r="B5" s="6" t="n">
        <v>34512896</v>
      </c>
      <c r="C5" s="10" t="n">
        <v>0.2907083557951483</v>
      </c>
      <c r="D5" s="10" t="n">
        <v>0.4228449356481754</v>
      </c>
      <c r="E5" s="6" t="n">
        <v>34424616.47144704</v>
      </c>
      <c r="F5" t="n">
        <v>25</v>
      </c>
      <c r="G5" t="n">
        <v>30</v>
      </c>
      <c r="H5" s="6" t="n">
        <v>0</v>
      </c>
    </row>
    <row r="6">
      <c r="A6" s="14" t="inlineStr">
        <is>
          <t>B · banco 50 % da obra @ CDI+3</t>
        </is>
      </c>
      <c r="B6" s="6" t="n">
        <v>28409254.91892409</v>
      </c>
      <c r="C6" s="10" t="n">
        <v>0.2392962846944414</v>
      </c>
      <c r="D6" s="10" t="n">
        <v>0.6312072298226485</v>
      </c>
      <c r="E6" s="6" t="n">
        <v>14351906.38231676</v>
      </c>
      <c r="F6" t="n">
        <v>16</v>
      </c>
      <c r="G6" t="n">
        <v>30</v>
      </c>
      <c r="H6" s="6" t="n">
        <v>6103641.081075914</v>
      </c>
    </row>
    <row r="7">
      <c r="A7" s="14" t="inlineStr">
        <is>
          <t>C · banco 70 % da obra @ CDI+3</t>
        </is>
      </c>
      <c r="B7" s="6" t="n">
        <v>25967798.48649371</v>
      </c>
      <c r="C7" s="10" t="n">
        <v>0.2187314562541586</v>
      </c>
      <c r="D7" s="10" t="n">
        <v>0.8576045220582496</v>
      </c>
      <c r="E7" s="6" t="n">
        <v>7853444.843855222</v>
      </c>
      <c r="F7" t="n">
        <v>16</v>
      </c>
      <c r="G7" t="n">
        <v>29</v>
      </c>
      <c r="H7" s="6" t="n">
        <v>8545097.513506278</v>
      </c>
    </row>
    <row r="8">
      <c r="A8" s="14" t="inlineStr">
        <is>
          <t>D · sem banco + tabela +0,4 %/mês</t>
        </is>
      </c>
      <c r="B8" s="6" t="n">
        <v>40461478.9920186</v>
      </c>
      <c r="C8" s="10" t="n">
        <v>0.340814344609321</v>
      </c>
      <c r="D8" s="10" t="n">
        <v>0.4804860384590914</v>
      </c>
      <c r="E8" s="6" t="n">
        <v>34020655.6884333</v>
      </c>
      <c r="F8" t="n">
        <v>25</v>
      </c>
      <c r="G8" t="n">
        <v>30</v>
      </c>
      <c r="H8" s="6" t="n">
        <v>0</v>
      </c>
    </row>
    <row r="9">
      <c r="A9" s="14" t="inlineStr">
        <is>
          <t>E · banco 50 % + tabela +0,4 %/mês  ← recomendada</t>
        </is>
      </c>
      <c r="B9" s="6" t="n">
        <v>34357837.91094268</v>
      </c>
      <c r="C9" s="10" t="n">
        <v>0.2894022735086142</v>
      </c>
      <c r="D9" s="10" t="n">
        <v>0.7264968848376132</v>
      </c>
      <c r="E9" s="6" t="n">
        <v>14279514.38587696</v>
      </c>
      <c r="F9" t="n">
        <v>16</v>
      </c>
      <c r="G9" t="n">
        <v>30</v>
      </c>
      <c r="H9" s="6" t="n">
        <v>6103641.081075914</v>
      </c>
    </row>
    <row r="10">
      <c r="A10" s="14" t="inlineStr">
        <is>
          <t>F · banco 50 % + tabela +0,4 % + 45/55 + lanç. 40 %/VSO 4,5 %</t>
        </is>
      </c>
      <c r="B10" s="6" t="n">
        <v>32829058.52894522</v>
      </c>
      <c r="C10" s="10" t="n">
        <v>0.276525088687207</v>
      </c>
      <c r="D10" s="10" t="n">
        <v>0.9050236355350032</v>
      </c>
      <c r="E10" s="6" t="n">
        <v>10534745.4480865</v>
      </c>
      <c r="F10" t="n">
        <v>16</v>
      </c>
      <c r="G10" t="n">
        <v>30</v>
      </c>
      <c r="H10" s="6" t="n">
        <v>6103641.081075914</v>
      </c>
    </row>
    <row r="11">
      <c r="A11" s="14" t="inlineStr">
        <is>
          <t>G · E com INCC 6,56 % na obra E na tabela</t>
        </is>
      </c>
      <c r="B11" s="6" t="n">
        <v>32688202.43032421</v>
      </c>
      <c r="C11" s="10" t="n">
        <v>0.275338632330898</v>
      </c>
      <c r="D11" s="10" t="n">
        <v>0.6705939361622311</v>
      </c>
      <c r="E11" s="6" t="n">
        <v>14976728.7836677</v>
      </c>
      <c r="F11" t="n">
        <v>16</v>
      </c>
      <c r="G11" t="n">
        <v>30</v>
      </c>
      <c r="H11" s="6" t="n">
        <v>6395957.5058452</v>
      </c>
    </row>
    <row r="12">
      <c r="A12" s="14" t="inlineStr">
        <is>
          <t>H · E com INCC só na obra (tabela +0,4 %)</t>
        </is>
      </c>
      <c r="B12" s="6" t="n">
        <v>30588938.37874527</v>
      </c>
      <c r="C12" s="10" t="n">
        <v>0.2576561521120727</v>
      </c>
      <c r="D12" s="10" t="n">
        <v>0.6380400720411064</v>
      </c>
      <c r="E12" s="6" t="n">
        <v>15000833.27589036</v>
      </c>
      <c r="F12" t="n">
        <v>16</v>
      </c>
      <c r="G12" t="n">
        <v>30</v>
      </c>
      <c r="H12" s="6" t="n">
        <v>6395957.5058452</v>
      </c>
    </row>
    <row r="13">
      <c r="A13" s="42" t="inlineStr">
        <is>
          <t>W · REV00 do Wesley no nosso motor (108 × 100 m², obra 59 M, 36+20)</t>
        </is>
      </c>
      <c r="B13" s="43" t="n">
        <v>19546722.77571378</v>
      </c>
      <c r="C13" s="44" t="n">
        <v>0.1772201582272316</v>
      </c>
      <c r="D13" s="44" t="n">
        <v>0.176184516210439</v>
      </c>
      <c r="E13" s="43" t="n">
        <v>41957847.72299471</v>
      </c>
      <c r="F13" s="45" t="n">
        <v>31</v>
      </c>
      <c r="G13" s="45" t="n">
        <v>36</v>
      </c>
      <c r="H13" s="43" t="n">
        <v>0</v>
      </c>
    </row>
    <row r="14">
      <c r="A14" s="14" t="inlineStr">
        <is>
          <t>A-R · sem banco, custo/prazo do REV00</t>
        </is>
      </c>
      <c r="B14" s="6" t="n">
        <v>26756296.81033449</v>
      </c>
      <c r="C14" s="10" t="n">
        <v>0.2253731200331409</v>
      </c>
      <c r="D14" s="10" t="n">
        <v>0.2360057404005771</v>
      </c>
      <c r="E14" s="6" t="n">
        <v>40752442.91252457</v>
      </c>
      <c r="F14" t="n">
        <v>31</v>
      </c>
      <c r="G14" t="n">
        <v>36</v>
      </c>
      <c r="H14" s="6" t="n">
        <v>0</v>
      </c>
    </row>
    <row r="15">
      <c r="A15" s="14" t="inlineStr">
        <is>
          <t>B-R · banco 50 % @ CDI+3, custo/prazo do REV00 (sem tabela)</t>
        </is>
      </c>
      <c r="B15" s="6" t="n">
        <v>17491468.07028737</v>
      </c>
      <c r="C15" s="10" t="n">
        <v>0.1473337943925823</v>
      </c>
      <c r="D15" s="10" t="n">
        <v>0.300231493261137</v>
      </c>
      <c r="E15" s="6" t="n">
        <v>16420783.93815133</v>
      </c>
      <c r="F15" t="n">
        <v>19</v>
      </c>
      <c r="G15" t="n">
        <v>36</v>
      </c>
      <c r="H15" s="6" t="n">
        <v>9264828.740047086</v>
      </c>
    </row>
    <row r="16">
      <c r="A16" s="11" t="inlineStr">
        <is>
          <t>E-R · nosso produto + custo/prazo do REV00 (obra 59 M, 36+20, permuta 11 %)  ← BASE NOVO</t>
        </is>
      </c>
      <c r="B16" s="46" t="n">
        <v>24251132.10272048</v>
      </c>
      <c r="C16" s="47" t="n">
        <v>0.2042716652857184</v>
      </c>
      <c r="D16" s="47" t="n">
        <v>0.386833117975091</v>
      </c>
      <c r="E16" s="46" t="n">
        <v>16342872.14444658</v>
      </c>
      <c r="F16" s="29" t="n">
        <v>19</v>
      </c>
      <c r="G16" s="29" t="n">
        <v>36</v>
      </c>
      <c r="H16" s="46" t="n">
        <v>9264828.740047086</v>
      </c>
    </row>
    <row r="17">
      <c r="A17" s="14" t="inlineStr">
        <is>
          <t>E-R48 · idem com a obra na meta de 48 M</t>
        </is>
      </c>
      <c r="B17" s="6" t="n">
        <v>36937637.67682451</v>
      </c>
      <c r="C17" s="10" t="n">
        <v>0.3111323928303951</v>
      </c>
      <c r="D17" s="10" t="n">
        <v>0.6405135397122026</v>
      </c>
      <c r="E17" s="6" t="n">
        <v>12711115.69759864</v>
      </c>
      <c r="F17" t="n">
        <v>19</v>
      </c>
      <c r="G17" t="n">
        <v>36</v>
      </c>
      <c r="H17" s="6" t="n">
        <v>7542116.213031206</v>
      </c>
    </row>
    <row r="19">
      <c r="A19" s="2" t="inlineStr">
        <is>
          <t>LEITURA DE SÓCIO (base E-R): o banco a 50 % troca R$ 9.3 M de resultado (os juros de 36 meses) por R$ 24 M a menos de caixa preso — de 40.8 M para 16.3 M. A tabela progressiva devolve R$ 6.8 M sem custar exposição. Com 36 meses e CDI 13,9 % os juros pesam 9.3 M (eram 6.1 M no base de 30 m): cotar SBPE (TR + 11–12 %) antes de aceitar CDI+3.</t>
        </is>
      </c>
    </row>
    <row r="21">
      <c r="A21" s="2" t="inlineStr">
        <is>
          <t>Pilhas A–H = o base de 01–08/09 (obra 48 M, 30+12, permuta 12 %), mantidas para rastreio. W = as premissas do Wesley no nosso motor (108 × 100 m²). A-R/B-R/E-R/E-R48 = o nosso produto com custo e prazo do REV00. A obra a 58,96 M põe a pilha E-R em 20.4 % — em cima do piso de 20 %; a meta de 48 M devolve 31.1 %.</t>
        </is>
      </c>
    </row>
    <row r="22">
      <c r="A22" s="2" t="inlineStr">
        <is>
          <t>Pilha G/H: com INCC 6,56 % ligado na obra, a tabela a +0,4 %/mês NÃO repõe tudo — só a tabela indexada ao próprio INCC (G) repõe. É o argumento para indexar o contrato pelo INCC até as chaves (padrão do mercado), não por % fixo.</t>
        </is>
      </c>
    </row>
    <row r="24">
      <c r="A24" s="4" t="inlineStr">
        <is>
          <t>SENSIBILIDADE — % financiado e custo do dinheiro (pilha E-R)</t>
        </is>
      </c>
    </row>
    <row r="25">
      <c r="A25" s="3" t="inlineStr">
        <is>
          <t>% da obra financiada</t>
        </is>
      </c>
      <c r="B25" s="3" t="inlineStr">
        <is>
          <t>Resultado (R$)</t>
        </is>
      </c>
      <c r="C25" s="3" t="inlineStr">
        <is>
          <t>Margem</t>
        </is>
      </c>
      <c r="D25" s="3" t="inlineStr">
        <is>
          <t>TIR a.a.</t>
        </is>
      </c>
      <c r="E25" s="3" t="inlineStr">
        <is>
          <t>Exposição (R$)</t>
        </is>
      </c>
      <c r="F25" s="3" t="inlineStr">
        <is>
          <t>Mês pico</t>
        </is>
      </c>
      <c r="G25" s="3" t="inlineStr">
        <is>
          <t>Payback</t>
        </is>
      </c>
      <c r="H25" s="3" t="inlineStr">
        <is>
          <t>Juros (R$)</t>
        </is>
      </c>
    </row>
    <row r="26">
      <c r="A26" s="10" t="n">
        <v>0</v>
      </c>
      <c r="B26" s="6" t="n">
        <v>33515960.84276757</v>
      </c>
      <c r="C26" s="10" t="n">
        <v>0.2823109909262768</v>
      </c>
      <c r="D26" s="10" t="n">
        <v>0.2834841160280013</v>
      </c>
      <c r="E26" s="6" t="n">
        <v>40184474.90136912</v>
      </c>
      <c r="F26" t="n">
        <v>31</v>
      </c>
      <c r="G26" t="n">
        <v>36</v>
      </c>
      <c r="H26" s="6" t="n">
        <v>0</v>
      </c>
    </row>
    <row r="27">
      <c r="A27" s="10" t="n">
        <v>0.3</v>
      </c>
      <c r="B27" s="6" t="n">
        <v>27957063.59873935</v>
      </c>
      <c r="C27" s="10" t="n">
        <v>0.235487395541942</v>
      </c>
      <c r="D27" s="10" t="n">
        <v>0.3289444033988274</v>
      </c>
      <c r="E27" s="6" t="n">
        <v>24155574.72318577</v>
      </c>
      <c r="F27" t="n">
        <v>19</v>
      </c>
      <c r="G27" t="n">
        <v>36</v>
      </c>
      <c r="H27" s="6" t="n">
        <v>5558897.244028222</v>
      </c>
    </row>
    <row r="28">
      <c r="A28" s="10" t="n">
        <v>0.5</v>
      </c>
      <c r="B28" s="6" t="n">
        <v>24251132.10272048</v>
      </c>
      <c r="C28" s="10" t="n">
        <v>0.2042716652857184</v>
      </c>
      <c r="D28" s="10" t="n">
        <v>0.386833117975091</v>
      </c>
      <c r="E28" s="6" t="n">
        <v>16342872.14444658</v>
      </c>
      <c r="F28" t="n">
        <v>19</v>
      </c>
      <c r="G28" t="n">
        <v>36</v>
      </c>
      <c r="H28" s="6" t="n">
        <v>9264828.740047086</v>
      </c>
    </row>
    <row r="29">
      <c r="A29" s="10" t="n">
        <v>0.7</v>
      </c>
      <c r="B29" s="6" t="n">
        <v>20545200.60670166</v>
      </c>
      <c r="C29" s="10" t="n">
        <v>0.1730559350294951</v>
      </c>
      <c r="D29" s="10" t="n">
        <v>0.5112698065016859</v>
      </c>
      <c r="E29" s="6" t="n">
        <v>8904831.967904065</v>
      </c>
      <c r="F29" t="n">
        <v>11</v>
      </c>
      <c r="G29" t="n">
        <v>33</v>
      </c>
      <c r="H29" s="6" t="n">
        <v>12970760.2360659</v>
      </c>
    </row>
    <row r="30">
      <c r="A30" s="10" t="n">
        <v>0.85</v>
      </c>
      <c r="B30" s="6" t="n">
        <v>17765751.98468753</v>
      </c>
      <c r="C30" s="10" t="n">
        <v>0.1496441373373276</v>
      </c>
      <c r="D30" s="10" t="n">
        <v>0.765530177330537</v>
      </c>
      <c r="E30" s="6" t="n">
        <v>4884573.351057146</v>
      </c>
      <c r="F30" t="n">
        <v>11</v>
      </c>
      <c r="G30" t="n">
        <v>24</v>
      </c>
      <c r="H30" s="6" t="n">
        <v>15750208.85808003</v>
      </c>
    </row>
    <row r="32">
      <c r="A32" s="3" t="inlineStr">
        <is>
          <t>Juros do plano empresário a.a.</t>
        </is>
      </c>
      <c r="B32" s="3" t="inlineStr">
        <is>
          <t>Resultado (R$)</t>
        </is>
      </c>
      <c r="C32" s="3" t="inlineStr">
        <is>
          <t>Margem</t>
        </is>
      </c>
      <c r="D32" s="3" t="inlineStr">
        <is>
          <t>TIR a.a.</t>
        </is>
      </c>
      <c r="E32" s="3" t="inlineStr">
        <is>
          <t>Exposição (R$)</t>
        </is>
      </c>
      <c r="F32" s="3" t="inlineStr">
        <is>
          <t>Mês pico</t>
        </is>
      </c>
      <c r="G32" s="3" t="inlineStr">
        <is>
          <t>Payback</t>
        </is>
      </c>
      <c r="H32" s="3" t="inlineStr">
        <is>
          <t>Juros (R$)</t>
        </is>
      </c>
    </row>
    <row r="33">
      <c r="A33" t="inlineStr">
        <is>
          <t>12 % — SBPE TR+~11 %</t>
        </is>
      </c>
      <c r="B33" s="6" t="n">
        <v>27111139.93857125</v>
      </c>
      <c r="C33" s="10" t="n">
        <v>0.2283620277844614</v>
      </c>
      <c r="D33" s="10" t="n">
        <v>0.4250271008748177</v>
      </c>
      <c r="E33" s="6" t="n">
        <v>16342872.14444658</v>
      </c>
      <c r="F33" t="n">
        <v>19</v>
      </c>
      <c r="G33" t="n">
        <v>36</v>
      </c>
      <c r="H33" s="6" t="n">
        <v>6404820.904196318</v>
      </c>
    </row>
    <row r="34">
      <c r="A34" t="inlineStr">
        <is>
          <t>14 % — modelo de 01/09</t>
        </is>
      </c>
      <c r="B34" s="6" t="n">
        <v>25961306.11988896</v>
      </c>
      <c r="C34" s="10" t="n">
        <v>0.2186767698777709</v>
      </c>
      <c r="D34" s="10" t="n">
        <v>0.409831654932771</v>
      </c>
      <c r="E34" s="6" t="n">
        <v>16342872.14444658</v>
      </c>
      <c r="F34" t="n">
        <v>19</v>
      </c>
      <c r="G34" t="n">
        <v>36</v>
      </c>
      <c r="H34" s="6" t="n">
        <v>7554654.722878609</v>
      </c>
    </row>
    <row r="35">
      <c r="A35" t="inlineStr">
        <is>
          <t>16,9 % — CDI+3 hoje</t>
        </is>
      </c>
      <c r="B35" s="6" t="n">
        <v>24251132.10272048</v>
      </c>
      <c r="C35" s="10" t="n">
        <v>0.2042716652857184</v>
      </c>
      <c r="D35" s="10" t="n">
        <v>0.386833117975091</v>
      </c>
      <c r="E35" s="6" t="n">
        <v>16342872.14444658</v>
      </c>
      <c r="F35" t="n">
        <v>19</v>
      </c>
      <c r="G35" t="n">
        <v>36</v>
      </c>
      <c r="H35" s="6" t="n">
        <v>9264828.740047086</v>
      </c>
    </row>
    <row r="36">
      <c r="A36" t="inlineStr">
        <is>
          <t>19 % — CDI+5</t>
        </is>
      </c>
      <c r="B36" s="6" t="n">
        <v>22980682.88794157</v>
      </c>
      <c r="C36" s="10" t="n">
        <v>0.1935704421154108</v>
      </c>
      <c r="D36" s="10" t="n">
        <v>0.3694299899746107</v>
      </c>
      <c r="E36" s="6" t="n">
        <v>16342872.14444658</v>
      </c>
      <c r="F36" t="n">
        <v>19</v>
      </c>
      <c r="G36" t="n">
        <v>36</v>
      </c>
      <c r="H36" s="6" t="n">
        <v>10535277.954826</v>
      </c>
    </row>
    <row r="37">
      <c r="A37" t="inlineStr">
        <is>
          <t>22 % — mezanino/crowd</t>
        </is>
      </c>
      <c r="B37" s="6" t="n">
        <v>21118500.80401118</v>
      </c>
      <c r="C37" s="10" t="n">
        <v>0.1778849461254311</v>
      </c>
      <c r="D37" s="10" t="n">
        <v>0.3434129278632754</v>
      </c>
      <c r="E37" s="6" t="n">
        <v>16342872.14444658</v>
      </c>
      <c r="F37" t="n">
        <v>19</v>
      </c>
      <c r="G37" t="n">
        <v>36</v>
      </c>
      <c r="H37" s="6" t="n">
        <v>12397460.03875638</v>
      </c>
    </row>
    <row r="40">
      <c r="A40" s="4" t="inlineStr">
        <is>
          <t>FICHA DAS LINHAS DE FINANCIAMENTO À PRODUÇÃO (medido 08/09/2026 — cotar formalmente)</t>
        </is>
      </c>
    </row>
    <row r="41">
      <c r="A41" s="3" t="inlineStr">
        <is>
          <t>Linha</t>
        </is>
      </c>
      <c r="B41" s="3" t="inlineStr">
        <is>
          <t>Cobre</t>
        </is>
      </c>
      <c r="C41" s="3" t="inlineStr">
        <is>
          <t>Prazo</t>
        </is>
      </c>
      <c r="D41" s="3" t="inlineStr">
        <is>
          <t>Indexador / custo</t>
        </is>
      </c>
      <c r="E41" s="3" t="inlineStr">
        <is>
          <t>Exigências típicas</t>
        </is>
      </c>
      <c r="F41" s="3" t="inlineStr">
        <is>
          <t>Fonte</t>
        </is>
      </c>
    </row>
    <row r="42">
      <c r="A42" s="12" t="inlineStr">
        <is>
          <t>Caixa — Plano Empresário</t>
        </is>
      </c>
      <c r="B42" s="12" t="inlineStr">
        <is>
          <t>até 85 % do custo total da obra</t>
        </is>
      </c>
      <c r="C42" s="12" t="inlineStr">
        <is>
          <t>até 36 m obra + 9 m carência</t>
        </is>
      </c>
      <c r="D42" s="12" t="inlineStr">
        <is>
          <t>TR ou CDI (% CDI / CDI + sobrepreço — 'Recursos Livres CAIXA')</t>
        </is>
      </c>
      <c r="E42" s="12" t="inlineStr">
        <is>
          <t>RI + patrimônio de afetação; % mínimo vendido; hipoteca/AF do terreno; cessão dos recebíveis; medições mensais</t>
        </is>
      </c>
      <c r="F42" s="12" t="inlineStr">
        <is>
          <t>caixa.gov.br/empresa/construcao-civil/plano-empresario-caixa</t>
        </is>
      </c>
    </row>
    <row r="43">
      <c r="A43" s="12" t="inlineStr">
        <is>
          <t>Caixa — Apoio à Produção</t>
        </is>
      </c>
      <c r="B43" s="12" t="inlineStr">
        <is>
          <t>quase todos os custos do empreendimento</t>
        </is>
      </c>
      <c r="C43" s="12" t="inlineStr">
        <is>
          <t>obra + carência</t>
        </is>
      </c>
      <c r="D43" s="12" t="inlineStr">
        <is>
          <t>TR + taxa; funding SBPE/FGTS</t>
        </is>
      </c>
      <c r="E43" s="12" t="inlineStr">
        <is>
          <t>vendas 100 % repassadas pela Caixa (associativo)</t>
        </is>
      </c>
      <c r="F43" s="12" t="inlineStr">
        <is>
          <t>caixa.gov.br/empresa/construcao-civil/apoio-a-producao</t>
        </is>
      </c>
    </row>
    <row r="44">
      <c r="A44" s="12" t="inlineStr">
        <is>
          <t>Bradesco — Plano Empresário</t>
        </is>
      </c>
      <c r="B44" s="12" t="inlineStr">
        <is>
          <t>até 70 % do custo do projeto (exceto mão de obra)</t>
        </is>
      </c>
      <c r="C44" s="12" t="inlineStr">
        <is>
          <t>longo, por contrato</t>
        </is>
      </c>
      <c r="D44" s="12" t="inlineStr">
        <is>
          <t>TR/CDI + spread [COTAR]</t>
        </is>
      </c>
      <c r="E44" s="12" t="inlineStr">
        <is>
          <t>FGTS liberado após averbação; garantias reais</t>
        </is>
      </c>
      <c r="F44" s="12" t="inlineStr">
        <is>
          <t>banco.bradesco/…/plano-empresarial</t>
        </is>
      </c>
    </row>
    <row r="45">
      <c r="A45" s="12" t="inlineStr">
        <is>
          <t>Itaú — Plano Empresário / PE Verde</t>
        </is>
      </c>
      <c r="B45" s="12" t="inlineStr">
        <is>
          <t>por contrato</t>
        </is>
      </c>
      <c r="C45" s="12" t="inlineStr">
        <is>
          <t>por contrato</t>
        </is>
      </c>
      <c r="D45" s="12" t="inlineStr">
        <is>
          <t>CDI + spread; PEV exige LEED/AQUA (D §3)</t>
        </is>
      </c>
      <c r="E45" s="12" t="inlineStr">
        <is>
          <t>certificação sustentável para a linha verde</t>
        </is>
      </c>
      <c r="F45" s="12" t="inlineStr">
        <is>
          <t>sienge.com.br/credito-para-construtoras-e-incorporadoras</t>
        </is>
      </c>
    </row>
    <row r="46">
      <c r="A46" s="12" t="inlineStr">
        <is>
          <t>Banco do Brasil — Plano Empresário</t>
        </is>
      </c>
      <c r="B46" s="12" t="inlineStr">
        <is>
          <t>por contrato</t>
        </is>
      </c>
      <c r="C46" s="12" t="inlineStr">
        <is>
          <t>por contrato</t>
        </is>
      </c>
      <c r="D46" s="12" t="inlineStr">
        <is>
          <t>TR/CDI + spread [COTAR]</t>
        </is>
      </c>
      <c r="E46" s="12" t="inlineStr">
        <is>
          <t>idem</t>
        </is>
      </c>
      <c r="F46" s="12" t="inlineStr">
        <is>
          <t>[COTAR]</t>
        </is>
      </c>
    </row>
    <row r="47">
      <c r="A47" s="12" t="inlineStr">
        <is>
          <t>Mezanino / crowdfunding de dívida (CVM 88)</t>
        </is>
      </c>
      <c r="B47" s="12" t="inlineStr">
        <is>
          <t>até R$ 15 M por oferta (180 dias)</t>
        </is>
      </c>
      <c r="C47" s="12" t="inlineStr">
        <is>
          <t>24–36 m bullet</t>
        </is>
      </c>
      <c r="D47" s="12" t="inlineStr">
        <is>
          <t>15–20 % a.a. + taxa da plataforma ~3,5–5 %</t>
        </is>
      </c>
      <c r="E47" s="12" t="inlineStr">
        <is>
          <t>SPE, garantia, relatório — complementa o banco, não substitui</t>
        </is>
      </c>
      <c r="F47" s="12" t="inlineStr">
        <is>
          <t>Resolução CVM 88 · INCO</t>
        </is>
      </c>
    </row>
    <row r="49">
      <c r="A49" s="2" t="inlineStr">
        <is>
          <t>Custo efetivo = juros + taxa de abertura/estruturação (1–2 % do limite, fora do modelo) + seguros (RD/RC) + custo de medição. O modelo trata só os juros compostos no saldo com amortização integral nas chaves (repasse).</t>
        </is>
      </c>
    </row>
    <row r="50">
      <c r="A50" s="2" t="inlineStr">
        <is>
          <t>O que o dossiê de crédito pede: RI + afetação registrados · projeto legal aprovado · orçamento executivo · cronograma físico-financeiro · estudo de viabilidade (esta planilha) · tabela e % vendido · balanços da SPE/incorporador · matrícula do terreno livre.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20" customWidth="1" min="3" max="3"/>
    <col width="22" customWidth="1" min="4" max="4"/>
    <col width="16" customWidth="1" min="5" max="5"/>
    <col width="60" customWidth="1" min="6" max="6"/>
    <col width="18" customWidth="1" min="7" max="7"/>
  </cols>
  <sheetData>
    <row r="1">
      <c r="A1" s="1" t="inlineStr">
        <is>
          <t>FUNDING — DE ONDE VEM O DINHEIRO (usos × fontes até o pico de caixa)</t>
        </is>
      </c>
    </row>
    <row r="2">
      <c r="A2" s="2" t="inlineStr">
        <is>
          <t>Fontes ligadas às Premissas e ao Fluxo Mensal. O stack recomendado cobre a exposição da pilha E-R com caixa próprio ou sócio.</t>
        </is>
      </c>
    </row>
    <row r="4">
      <c r="A4" s="3" t="inlineStr">
        <is>
          <t>USOS (ciclo inteiro)</t>
        </is>
      </c>
      <c r="B4" s="3" t="inlineStr">
        <is>
          <t>R$</t>
        </is>
      </c>
      <c r="C4" s="3" t="inlineStr">
        <is>
          <t>% do VGV</t>
        </is>
      </c>
    </row>
    <row r="5">
      <c r="A5" t="inlineStr">
        <is>
          <t>Obra (REV00: CD+CI+adm)</t>
        </is>
      </c>
      <c r="B5" s="6">
        <f>Premissas!$B$21</f>
        <v/>
      </c>
      <c r="C5" s="10">
        <f>B5/Premissas!$B$10</f>
        <v/>
      </c>
    </row>
    <row r="6">
      <c r="A6" t="inlineStr">
        <is>
          <t>Juros do plano empresário</t>
        </is>
      </c>
      <c r="B6" s="6">
        <f>'Fluxo Mensal'!$B$68</f>
        <v/>
      </c>
      <c r="C6" s="10">
        <f>B6/Premissas!$B$10</f>
        <v/>
      </c>
    </row>
    <row r="7">
      <c r="A7" t="inlineStr">
        <is>
          <t>Comissão de vendas</t>
        </is>
      </c>
      <c r="B7" s="6">
        <f>SUM('Fluxo Mensal'!L2:L58)</f>
        <v/>
      </c>
      <c r="C7" s="10">
        <f>B7/Premissas!$B$10</f>
        <v/>
      </c>
    </row>
    <row r="8">
      <c r="A8" t="inlineStr">
        <is>
          <t>Marketing (stand, decorado, mídia)</t>
        </is>
      </c>
      <c r="B8" s="6">
        <f>SUM('Fluxo Mensal'!M2:M58)</f>
        <v/>
      </c>
      <c r="C8" s="10">
        <f>B8/Premissas!$B$10</f>
        <v/>
      </c>
    </row>
    <row r="9">
      <c r="A9" t="inlineStr">
        <is>
          <t>Adm. de carteira + seguros</t>
        </is>
      </c>
      <c r="B9" s="6">
        <f>SUM('Fluxo Mensal'!N2:N58)</f>
        <v/>
      </c>
      <c r="C9" s="10">
        <f>B9/Premissas!$B$10</f>
        <v/>
      </c>
    </row>
    <row r="10">
      <c r="A10" t="inlineStr">
        <is>
          <t>RET 4 %</t>
        </is>
      </c>
      <c r="B10" s="6">
        <f>SUM('Fluxo Mensal'!O2:O58)</f>
        <v/>
      </c>
      <c r="C10" s="10">
        <f>B10/Premissas!$B$10</f>
        <v/>
      </c>
    </row>
    <row r="11">
      <c r="A11" t="inlineStr">
        <is>
          <t>Projetos, aprovações, condicionantes, TAO, contingência, pós-obra</t>
        </is>
      </c>
      <c r="B11" s="6">
        <f>SUM('Fluxo Mensal'!P2:P58)</f>
        <v/>
      </c>
      <c r="C11" s="10">
        <f>B11/Premissas!$B$10</f>
        <v/>
      </c>
    </row>
    <row r="12">
      <c r="A12" t="inlineStr">
        <is>
          <t>Permuta do terreno (paga em receita)</t>
        </is>
      </c>
      <c r="B12" s="6">
        <f>Premissas!$B$10*Premissas!$B$26</f>
        <v/>
      </c>
      <c r="C12" s="10">
        <f>B12/Premissas!$B$10</f>
        <v/>
      </c>
    </row>
    <row r="13">
      <c r="A13" s="4" t="inlineStr">
        <is>
          <t>TOTAL DE USOS</t>
        </is>
      </c>
      <c r="B13" s="6">
        <f>SUM(B5:B12)</f>
        <v/>
      </c>
      <c r="C13" s="10">
        <f>B13/Premissas!$B$10</f>
        <v/>
      </c>
    </row>
    <row r="14">
      <c r="A14" s="4" t="inlineStr">
        <is>
          <t>Resultado (VGV + extras − usos)</t>
        </is>
      </c>
      <c r="B14" s="6">
        <f>Premissas!$B$10+Premissas!$B$33-B13</f>
        <v/>
      </c>
      <c r="C14" s="10">
        <f>B14/Premissas!$B$10</f>
        <v/>
      </c>
    </row>
    <row r="15">
      <c r="A15" s="2" t="inlineStr">
        <is>
          <t>Confere com o RESULTADO da aba Fluxo Mensal (mesmas contas, outra ordem).</t>
        </is>
      </c>
    </row>
    <row r="17">
      <c r="A17" s="3" t="inlineStr">
        <is>
          <t>FONTES (ciclo inteiro)</t>
        </is>
      </c>
      <c r="B17" s="3" t="inlineStr">
        <is>
          <t>R$</t>
        </is>
      </c>
      <c r="C17" s="3" t="inlineStr">
        <is>
          <t>% do VGV</t>
        </is>
      </c>
      <c r="D17" s="3" t="inlineStr">
        <is>
          <t>Custo</t>
        </is>
      </c>
      <c r="E17" s="3" t="inlineStr">
        <is>
          <t>Quando entra</t>
        </is>
      </c>
    </row>
    <row r="18">
      <c r="A18" t="inlineStr">
        <is>
          <t>Receita dos compradores na obra (40 %)</t>
        </is>
      </c>
      <c r="B18" s="6">
        <f>SUM('Fluxo Mensal'!G2:G37)</f>
        <v/>
      </c>
      <c r="C18" s="10">
        <f>B18/Premissas!$B$10</f>
        <v/>
      </c>
      <c r="D18" t="inlineStr">
        <is>
          <t>0 (é venda)</t>
        </is>
      </c>
      <c r="E18" t="inlineStr">
        <is>
          <t>meses 0–35</t>
        </is>
      </c>
    </row>
    <row r="19">
      <c r="A19" t="inlineStr">
        <is>
          <t>Receita nas chaves — repasse SFH/SBPE (60 %) + cauda</t>
        </is>
      </c>
      <c r="B19" s="6">
        <f>SUM('Fluxo Mensal'!G38:G58)</f>
        <v/>
      </c>
      <c r="C19" s="10">
        <f>B19/Premissas!$B$10</f>
        <v/>
      </c>
      <c r="D19" t="inlineStr">
        <is>
          <t>0 (é venda)</t>
        </is>
      </c>
      <c r="E19" t="inlineStr">
        <is>
          <t>mês 36 e cauda</t>
        </is>
      </c>
    </row>
    <row r="20">
      <c r="A20" t="inlineStr">
        <is>
          <t>Plano empresário (banco)</t>
        </is>
      </c>
      <c r="B20" s="6">
        <f>SUM('Fluxo Mensal'!I2:I58)</f>
        <v/>
      </c>
      <c r="C20" s="10">
        <f>B20/Premissas!$B$10</f>
        <v/>
      </c>
      <c r="D20" t="inlineStr">
        <is>
          <t>juros (Premissas)</t>
        </is>
      </c>
      <c r="E20" t="inlineStr">
        <is>
          <t>acompanha a obra</t>
        </is>
      </c>
    </row>
    <row r="21">
      <c r="A21" t="inlineStr">
        <is>
          <t>Avulsas + depósitos</t>
        </is>
      </c>
      <c r="B21" s="6">
        <f>Premissas!$B$33</f>
        <v/>
      </c>
      <c r="C21" s="10">
        <f>B21/Premissas!$B$10</f>
        <v/>
      </c>
      <c r="D21" t="inlineStr">
        <is>
          <t>0</t>
        </is>
      </c>
      <c r="E21" t="inlineStr">
        <is>
          <t>chaves</t>
        </is>
      </c>
    </row>
    <row r="22">
      <c r="A22" t="inlineStr">
        <is>
          <t>Caixa próprio / sócio = exposição máxima</t>
        </is>
      </c>
      <c r="B22" s="6">
        <f>'Fluxo Mensal'!$B$63</f>
        <v/>
      </c>
      <c r="C22" s="10">
        <f>B22/Premissas!$B$10</f>
        <v/>
      </c>
      <c r="D22" t="inlineStr">
        <is>
          <t>custo de oportunidade ≥ CDI</t>
        </is>
      </c>
      <c r="E22" t="inlineStr">
        <is>
          <t>até o mês do pico</t>
        </is>
      </c>
    </row>
    <row r="23">
      <c r="A23" s="2" t="inlineStr">
        <is>
          <t>O terreno entra por PERMUTA (11 % do VGV em receita — REV00): não é fonte de caixa nem uso de caixa — é o que evita R$ 13 M de compra à vista. Mercado: 15–20 % do VGV (aprofundamento §6); cada +3 pts de permuta custam ~R$ 3,7 M de resultado (aba Sensibilidade).</t>
        </is>
      </c>
    </row>
    <row r="26">
      <c r="A26" s="4" t="inlineStr">
        <is>
          <t>MATRIZ DE FONTES DE FUNDING — o que cabe no Altezza (medido 08/09/2026)</t>
        </is>
      </c>
    </row>
    <row r="27">
      <c r="A27" s="3" t="inlineStr">
        <is>
          <t>Fonte</t>
        </is>
      </c>
      <c r="B27" s="3" t="inlineStr">
        <is>
          <t>Natureza</t>
        </is>
      </c>
      <c r="C27" s="3" t="inlineStr">
        <is>
          <t>Tamanho típico</t>
        </is>
      </c>
      <c r="D27" s="3" t="inlineStr">
        <is>
          <t>Custo</t>
        </is>
      </c>
      <c r="E27" s="3" t="inlineStr">
        <is>
          <t>Cabe no Altezza?</t>
        </is>
      </c>
      <c r="F27" s="3" t="inlineStr">
        <is>
          <t>Por quê</t>
        </is>
      </c>
    </row>
    <row r="28">
      <c r="A28" s="12" t="inlineStr">
        <is>
          <t>Caixa próprio (equity do incorporador)</t>
        </is>
      </c>
      <c r="B28" s="12" t="inlineStr">
        <is>
          <t>equity</t>
        </is>
      </c>
      <c r="C28" s="12" t="inlineStr">
        <is>
          <t>R$ 16–17 M (pilha E-R)</t>
        </is>
      </c>
      <c r="D28" s="12" t="inlineStr">
        <is>
          <t>custo de oportunidade ≥ CDI 13,9 %</t>
        </is>
      </c>
      <c r="E28" s="48" t="inlineStr">
        <is>
          <t>SIM — base</t>
        </is>
      </c>
      <c r="F28" s="12" t="inlineStr">
        <is>
          <t>É a exposição máxima com banco 50 %. Sem banco seriam R$ 41 M — uma torre por ciclo em vez de duas/três.</t>
        </is>
      </c>
    </row>
    <row r="29">
      <c r="A29" s="12" t="inlineStr">
        <is>
          <t>Permuta do terreno (lote 21)</t>
        </is>
      </c>
      <c r="B29" s="12" t="inlineStr">
        <is>
          <t>quase-equity</t>
        </is>
      </c>
      <c r="C29" s="12" t="inlineStr">
        <is>
          <t>11 % do VGV = R$ 13.1 M</t>
        </is>
      </c>
      <c r="D29" s="12" t="inlineStr">
        <is>
          <t>cede unidades, não caixa</t>
        </is>
      </c>
      <c r="E29" s="48" t="inlineStr">
        <is>
          <t>SIM — já no modelo</t>
        </is>
      </c>
      <c r="F29" s="12" t="inlineStr">
        <is>
          <t>Dono do terreno recebe em receita. Régua de mercado 15–20 %; acima de 15 % a margem cai abaixo de 26 %.</t>
        </is>
      </c>
    </row>
    <row r="30">
      <c r="A30" s="12" t="inlineStr">
        <is>
          <t>Pré-vendas (40 % na obra + 60 % nas chaves)</t>
        </is>
      </c>
      <c r="B30" s="12" t="inlineStr">
        <is>
          <t>receita</t>
        </is>
      </c>
      <c r="C30" s="12" t="inlineStr">
        <is>
          <t>R$ 106 M líquidos</t>
        </is>
      </c>
      <c r="D30" s="12" t="inlineStr">
        <is>
          <t>comissão 5 % + RET 4 %</t>
        </is>
      </c>
      <c r="E30" s="48" t="inlineStr">
        <is>
          <t>SIM — principal</t>
        </is>
      </c>
      <c r="F30" s="12" t="inlineStr">
        <is>
          <t>Teto do SFH subiu para R$ 2,25 M em 2026: core E Sky cabem no repasse com FGTS (aba Repasse Comprador).</t>
        </is>
      </c>
    </row>
    <row r="31">
      <c r="A31" s="12" t="inlineStr">
        <is>
          <t>Plano empresário (Caixa/BB/Bradesco/Itaú)</t>
        </is>
      </c>
      <c r="B31" s="12" t="inlineStr">
        <is>
          <t>dívida sênior</t>
        </is>
      </c>
      <c r="C31" s="12" t="inlineStr">
        <is>
          <t>50–85 % da obra = R$ 29–50 M</t>
        </is>
      </c>
      <c r="D31" s="12" t="inlineStr">
        <is>
          <t>TR+11–12 % (SBPE) a CDI+3 (16,9 %)</t>
        </is>
      </c>
      <c r="E31" s="48" t="inlineStr">
        <is>
          <t>SIM — recomendado 50 %</t>
        </is>
      </c>
      <c r="F31" s="12" t="inlineStr">
        <is>
          <t>Derruba a exposição de 41 para 16 M. Exige RI + afetação + % vendido. Cotar SBPE primeiro: 5 pts de juros em 36 m ≈ R$ 2,7 M.</t>
        </is>
      </c>
    </row>
    <row r="32">
      <c r="A32" s="12" t="inlineStr">
        <is>
          <t>Crowdfunding de dívida (CVM 88)</t>
        </is>
      </c>
      <c r="B32" s="12" t="inlineStr">
        <is>
          <t>mezanino</t>
        </is>
      </c>
      <c r="C32" s="12" t="inlineStr">
        <is>
          <t>≤ R$ 15 M/oferta, 180 dias</t>
        </is>
      </c>
      <c r="D32" s="12" t="inlineStr">
        <is>
          <t>15–20 % a.a. + plataforma 3,5–5 %</t>
        </is>
      </c>
      <c r="E32" s="30" t="inlineStr">
        <is>
          <t>PARCIAL</t>
        </is>
      </c>
      <c r="F32" s="12" t="inlineStr">
        <is>
          <t>Serve para cobrir parte dos R$ 14 M de equity se o sócio não quiser entrar; caro, mas rápido e sem diluir controle.</t>
        </is>
      </c>
    </row>
    <row r="33">
      <c r="A33" s="12" t="inlineStr">
        <is>
          <t>Sócio investidor na SPE</t>
        </is>
      </c>
      <c r="B33" s="12" t="inlineStr">
        <is>
          <t>equity</t>
        </is>
      </c>
      <c r="C33" s="12" t="inlineStr">
        <is>
          <t>R$ 5–15 M</t>
        </is>
      </c>
      <c r="D33" s="12" t="inlineStr">
        <is>
          <t>participação no resultado (waterfall)</t>
        </is>
      </c>
      <c r="E33" s="48" t="inlineStr">
        <is>
          <t>SIM — se o Leandro quiser</t>
        </is>
      </c>
      <c r="F33" s="12" t="inlineStr">
        <is>
          <t>TIR de 39 % a.a. na pilha E-R (64 % com a obra na meta) é o argumento; cede parte dos R$ 24 M de resultado. Governança pela SPE + afetação.</t>
        </is>
      </c>
    </row>
    <row r="34">
      <c r="A34" s="12" t="inlineStr">
        <is>
          <t>CRI (securitização)</t>
        </is>
      </c>
      <c r="B34" s="12" t="inlineStr">
        <is>
          <t>dívida</t>
        </is>
      </c>
      <c r="C34" s="12" t="inlineStr">
        <is>
          <t>≥ R$ 50 M para fazer sentido</t>
        </is>
      </c>
      <c r="D34" s="12" t="inlineStr">
        <is>
          <t>~CDI + 1,75–4 % + R$ 1–3 M fixos</t>
        </is>
      </c>
      <c r="E34" s="49" t="inlineStr">
        <is>
          <t>NÃO agora</t>
        </is>
      </c>
      <c r="F34" s="12" t="inlineStr">
        <is>
          <t>Obra de R$ 59 M é pequena para um CRI corporativo; cabe como CRI pulverizado da carteira DEPOIS das chaves (60 % = R$ 63 M), ou no masterplan de 6 torres.</t>
        </is>
      </c>
    </row>
    <row r="35">
      <c r="A35" s="12" t="inlineStr">
        <is>
          <t>FII de desenvolvimento</t>
        </is>
      </c>
      <c r="B35" s="12" t="inlineStr">
        <is>
          <t>equity</t>
        </is>
      </c>
      <c r="C35" s="12" t="inlineStr">
        <is>
          <t>R$ 20 M+</t>
        </is>
      </c>
      <c r="D35" s="12" t="inlineStr">
        <is>
          <t>TIR exigida 20–25 % + taxas de gestão</t>
        </is>
      </c>
      <c r="E35" s="49" t="inlineStr">
        <is>
          <t>NÃO agora</t>
        </is>
      </c>
      <c r="F35" s="12" t="inlineStr">
        <is>
          <t>Faz sentido para a quadra inteira (R$ 600–760 M de VGV potencial), não para a primeira torre.</t>
        </is>
      </c>
    </row>
    <row r="36">
      <c r="A36" s="12" t="inlineStr">
        <is>
          <t>Antecipação / cessão de recebíveis</t>
        </is>
      </c>
      <c r="B36" s="12" t="inlineStr">
        <is>
          <t>dívida</t>
        </is>
      </c>
      <c r="C36" s="12" t="inlineStr">
        <is>
          <t>parte da carteira vendida</t>
        </is>
      </c>
      <c r="D36" s="12" t="inlineStr">
        <is>
          <t>desconto CDI + 4–6 %</t>
        </is>
      </c>
      <c r="E36" s="30" t="inlineStr">
        <is>
          <t>PLANO B</t>
        </is>
      </c>
      <c r="F36" s="12" t="inlineStr">
        <is>
          <t>Só se a obra atrasar e o banco travar medição; caro e come a margem.</t>
        </is>
      </c>
    </row>
    <row r="37">
      <c r="A37" s="12" t="inlineStr">
        <is>
          <t>OODC (outorga onerosa)</t>
        </is>
      </c>
      <c r="B37" s="12" t="inlineStr">
        <is>
          <t>custo evitado</t>
        </is>
      </c>
      <c r="C37" s="12" t="inlineStr">
        <is>
          <t>—</t>
        </is>
      </c>
      <c r="D37" s="12" t="inlineStr">
        <is>
          <t>5 % × CUB × m² adicional</t>
        </is>
      </c>
      <c r="E37" s="49" t="inlineStr">
        <is>
          <t>NÃO se aplica</t>
        </is>
      </c>
      <c r="F37" s="12" t="inlineStr">
        <is>
          <t>Altezza 29 cabe no CA básico 4,0 (direito pleno). Vira custo só se subir para o cenário CA 5,0 (34 níveis).</t>
        </is>
      </c>
    </row>
    <row r="39">
      <c r="A39" s="4" t="inlineStr">
        <is>
          <t>STACK RECOMENDADO (pilha E-R)</t>
        </is>
      </c>
    </row>
    <row r="40">
      <c r="A40" s="3" t="inlineStr">
        <is>
          <t>Camada</t>
        </is>
      </c>
      <c r="B40" s="3" t="inlineStr">
        <is>
          <t>R$</t>
        </is>
      </c>
      <c r="C40" s="3" t="inlineStr">
        <is>
          <t>% dos usos</t>
        </is>
      </c>
      <c r="D40" s="3" t="inlineStr">
        <is>
          <t>Observação</t>
        </is>
      </c>
    </row>
    <row r="41">
      <c r="A41" t="inlineStr">
        <is>
          <t>1 · Permuta do terreno (11 % VGV)</t>
        </is>
      </c>
      <c r="B41" s="6">
        <f>Premissas!$B$10*Premissas!$B$26</f>
        <v/>
      </c>
      <c r="C41" s="10">
        <f>B41/'Funding'!$B$13</f>
        <v/>
      </c>
      <c r="D41" t="inlineStr">
        <is>
          <t>unidades, não caixa</t>
        </is>
      </c>
    </row>
    <row r="42">
      <c r="A42" t="inlineStr">
        <is>
          <t>2 · Plano empresário 50 % da obra</t>
        </is>
      </c>
      <c r="B42" s="6">
        <f>SUM('Fluxo Mensal'!I2:I58)</f>
        <v/>
      </c>
      <c r="C42" s="10">
        <f>B42/'Funding'!$B$13</f>
        <v/>
      </c>
      <c r="D42" t="inlineStr">
        <is>
          <t>sênior, amortiza nas chaves</t>
        </is>
      </c>
    </row>
    <row r="43">
      <c r="A43" t="inlineStr">
        <is>
          <t>3 · Receita de pré-vendas durante a obra</t>
        </is>
      </c>
      <c r="B43" s="6">
        <f>SUM('Fluxo Mensal'!G2:G37)</f>
        <v/>
      </c>
      <c r="C43" s="10">
        <f>B43/'Funding'!$B$13</f>
        <v/>
      </c>
      <c r="D43" t="inlineStr">
        <is>
          <t>40 % da tabela, líquido da permuta</t>
        </is>
      </c>
    </row>
    <row r="44">
      <c r="A44" t="inlineStr">
        <is>
          <t>4 · Caixa próprio / sócio (pico)</t>
        </is>
      </c>
      <c r="B44" s="6">
        <f>'Fluxo Mensal'!$B$63</f>
        <v/>
      </c>
      <c r="C44" s="10">
        <f>B44/'Funding'!$B$13</f>
        <v/>
      </c>
      <c r="D44" t="inlineStr">
        <is>
          <t>o que o Leandro precisa ter ou captar</t>
        </is>
      </c>
    </row>
    <row r="45">
      <c r="A45" t="inlineStr">
        <is>
          <t>5 · Repasse nas chaves + cauda</t>
        </is>
      </c>
      <c r="B45" s="6">
        <f>SUM('Fluxo Mensal'!G32:G44)</f>
        <v/>
      </c>
      <c r="C45" s="10">
        <f>B45/'Funding'!$B$13</f>
        <v/>
      </c>
      <c r="D45" t="inlineStr">
        <is>
          <t>paga o banco e devolve o equity</t>
        </is>
      </c>
    </row>
    <row r="48">
      <c r="A48" s="4" t="inlineStr">
        <is>
          <t>TRIBUTOS E ENCARGOS — onde cada um está no modelo</t>
        </is>
      </c>
    </row>
    <row r="49">
      <c r="A49" s="3" t="inlineStr">
        <is>
          <t>Tributo</t>
        </is>
      </c>
      <c r="B49" s="3" t="inlineStr">
        <is>
          <t>Base</t>
        </is>
      </c>
      <c r="C49" s="3" t="inlineStr">
        <is>
          <t>Alíquota</t>
        </is>
      </c>
      <c r="D49" s="3" t="inlineStr">
        <is>
          <t>No modelo</t>
        </is>
      </c>
    </row>
    <row r="50">
      <c r="A50" s="12" t="inlineStr">
        <is>
          <t>RET (IRPJ + CSLL + PIS + COFINS)</t>
        </is>
      </c>
      <c r="B50" s="12" t="inlineStr">
        <is>
          <t>receita recebida</t>
        </is>
      </c>
      <c r="C50" s="12" t="inlineStr">
        <is>
          <t>4 %</t>
        </is>
      </c>
      <c r="D50" s="12" t="inlineStr">
        <is>
          <t>linha RET do Fluxo Mensal</t>
        </is>
      </c>
    </row>
    <row r="51">
      <c r="A51" s="12" t="inlineStr">
        <is>
          <t>ISSQN sobre serviços de construção</t>
        </is>
      </c>
      <c r="B51" s="12" t="inlineStr">
        <is>
          <t>mão de obra/serviços</t>
        </is>
      </c>
      <c r="C51" s="12" t="inlineStr">
        <is>
          <t>CTM Consolidado de Uberlândia [VERIFICAR alíquota]</t>
        </is>
      </c>
      <c r="D51" s="12" t="inlineStr">
        <is>
          <t>dentro do custo de obra (construtora)</t>
        </is>
      </c>
    </row>
    <row r="52">
      <c r="A52" s="12" t="inlineStr">
        <is>
          <t>ITBI</t>
        </is>
      </c>
      <c r="B52" s="12" t="inlineStr">
        <is>
          <t>permuta/frações e revenda</t>
        </is>
      </c>
      <c r="C52" s="12" t="inlineStr">
        <is>
          <t>CTM Consolidado [VERIFICAR]</t>
        </is>
      </c>
      <c r="D52" s="12" t="inlineStr">
        <is>
          <t>comprador paga na escritura — fora do modelo</t>
        </is>
      </c>
    </row>
    <row r="53">
      <c r="A53" s="12" t="inlineStr">
        <is>
          <t>Emolumentos RI + instituição do condomínio</t>
        </is>
      </c>
      <c r="B53" s="12" t="inlineStr">
        <is>
          <t>memorial NBR 12721</t>
        </is>
      </c>
      <c r="C53" s="12" t="inlineStr">
        <is>
          <t>tabela cartorária MG</t>
        </is>
      </c>
      <c r="D53" s="12" t="inlineStr">
        <is>
          <t>'Outras' 5 % do VGV</t>
        </is>
      </c>
    </row>
    <row r="54">
      <c r="A54" s="12" t="inlineStr">
        <is>
          <t>OODC</t>
        </is>
      </c>
      <c r="B54" s="12" t="inlineStr">
        <is>
          <t>m² acima do CA básico</t>
        </is>
      </c>
      <c r="C54" s="12" t="inlineStr">
        <is>
          <t>5 % × CUB × m²</t>
        </is>
      </c>
      <c r="D54" s="12" t="inlineStr">
        <is>
          <t>não se aplica (CA 4,0)</t>
        </is>
      </c>
    </row>
    <row r="55">
      <c r="A55" s="12" t="inlineStr">
        <is>
          <t>IPTU durante a obra</t>
        </is>
      </c>
      <c r="B55" s="12" t="inlineStr">
        <is>
          <t>terreno</t>
        </is>
      </c>
      <c r="C55" s="12" t="inlineStr">
        <is>
          <t>CTM</t>
        </is>
      </c>
      <c r="D55" s="12" t="inlineStr">
        <is>
          <t>'Outras'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REPASSE — O COMPRADOR CONSEGUE FINANCIAR? (SFH/SBPE 2026, fórmulas vivas)</t>
        </is>
      </c>
    </row>
    <row r="2">
      <c r="A2" s="2" t="inlineStr">
        <is>
          <t>Regras 2026 medidas 08/09/2026: teto SFH R$ 2,25 M (CMN) · LTV até 80 % · FGTS dentro do SFH · Caixa SBPE a partir de 11,19 % a.a. + TR · 360 meses. Antes do novo teto (R$ 1,5 M) o Sky ficava FORA do SFH — é a notícia boa de 2026 para o produto.</t>
        </is>
      </c>
    </row>
    <row r="4">
      <c r="A4" t="inlineStr">
        <is>
          <t>Teto SFH 2026 (R$)</t>
        </is>
      </c>
      <c r="B4" s="18" t="n">
        <v>2250000</v>
      </c>
    </row>
    <row r="5">
      <c r="A5" t="inlineStr">
        <is>
          <t>LTV máximo</t>
        </is>
      </c>
      <c r="B5" s="13" t="n">
        <v>0.8</v>
      </c>
    </row>
    <row r="6">
      <c r="A6" t="inlineStr">
        <is>
          <t>Taxa SBPE a.a. (Caixa, relacionamento)</t>
        </is>
      </c>
      <c r="B6" s="13" t="n">
        <v>0.1119</v>
      </c>
    </row>
    <row r="7">
      <c r="A7" t="inlineStr">
        <is>
          <t>TR a.a. (estimada)</t>
        </is>
      </c>
      <c r="B7" s="13" t="n">
        <v>0.012</v>
      </c>
    </row>
    <row r="8">
      <c r="A8" t="inlineStr">
        <is>
          <t>Prazo (meses)</t>
        </is>
      </c>
      <c r="B8" s="15" t="n">
        <v>360</v>
      </c>
    </row>
    <row r="9">
      <c r="A9" t="inlineStr">
        <is>
          <t>Comprometimento máximo de renda</t>
        </is>
      </c>
      <c r="B9" s="13" t="n">
        <v>0.3</v>
      </c>
    </row>
    <row r="10">
      <c r="A10" t="inlineStr">
        <is>
          <t>Taxa efetiva mensal (juros + TR)</t>
        </is>
      </c>
      <c r="B10" s="50">
        <f>(1+B6)^(1/12)*(1+B7)^(1/12)-1</f>
        <v/>
      </c>
    </row>
    <row r="12">
      <c r="A12" s="3" t="inlineStr"/>
      <c r="B12" s="3" t="inlineStr">
        <is>
          <t>Core 108 m²</t>
        </is>
      </c>
      <c r="C12" s="3" t="inlineStr">
        <is>
          <t>Sky 160 m²</t>
        </is>
      </c>
      <c r="D12" s="3" t="inlineStr">
        <is>
          <t>Nota</t>
        </is>
      </c>
    </row>
    <row r="13">
      <c r="A13" t="inlineStr">
        <is>
          <t>Preço (Premissas)</t>
        </is>
      </c>
      <c r="B13" s="6">
        <f>Premissas!$B$6</f>
        <v/>
      </c>
      <c r="C13" s="6">
        <f>Premissas!$B$9</f>
        <v/>
      </c>
      <c r="D13" s="2" t="inlineStr">
        <is>
          <t>R$ 10.000 e 12.500/m²</t>
        </is>
      </c>
    </row>
    <row r="14">
      <c r="A14" t="inlineStr">
        <is>
          <t>Dentro do teto SFH?</t>
        </is>
      </c>
      <c r="B14">
        <f>IF(B13&lt;=$B$4,"SIM — SFH + FGTS","NÃO — SFI")</f>
        <v/>
      </c>
      <c r="C14">
        <f>IF(C13&lt;=$B$4,"SIM — SFH + FGTS","NÃO — SFI")</f>
        <v/>
      </c>
      <c r="D14" s="2" t="inlineStr">
        <is>
          <t>teto subiu de 1,5 M para 2,25 M em 2026</t>
        </is>
      </c>
    </row>
    <row r="15">
      <c r="A15" t="inlineStr">
        <is>
          <t>Entrada mínima (1 − LTV)</t>
        </is>
      </c>
      <c r="B15" s="6">
        <f>B13*(1-$B$5)</f>
        <v/>
      </c>
      <c r="C15" s="6">
        <f>C13*(1-$B$5)</f>
        <v/>
      </c>
    </row>
    <row r="16">
      <c r="A16" t="inlineStr">
        <is>
          <t>Pago durante a obra (40 % da tabela)</t>
        </is>
      </c>
      <c r="B16" s="6">
        <f>B13*Premissas!$B$30</f>
        <v/>
      </c>
      <c r="C16" s="6">
        <f>C13*Premissas!$B$30</f>
        <v/>
      </c>
    </row>
    <row r="17">
      <c r="A17" t="inlineStr">
        <is>
          <t>Saldo nas chaves (60 %) = valor a financiar</t>
        </is>
      </c>
      <c r="B17" s="6">
        <f>B13*Premissas!$B$31</f>
        <v/>
      </c>
      <c r="C17" s="6">
        <f>C13*Premissas!$B$31</f>
        <v/>
      </c>
      <c r="D17" s="2" t="inlineStr">
        <is>
          <t>é o que o repasse do banco paga à SPE nas chaves</t>
        </is>
      </c>
    </row>
    <row r="18">
      <c r="A18" t="inlineStr">
        <is>
          <t>Cabe no LTV? (financiado ≤ 80 %)</t>
        </is>
      </c>
      <c r="B18">
        <f>IF(B17&lt;=B13*$B$5,"SIM","NÃO")</f>
        <v/>
      </c>
      <c r="C18">
        <f>IF(C17&lt;=C13*$B$5,"SIM","NÃO")</f>
        <v/>
      </c>
    </row>
    <row r="19">
      <c r="A19" t="inlineStr">
        <is>
          <t>Parcela Price (R$/mês)</t>
        </is>
      </c>
      <c r="B19" s="6">
        <f>-PMT($B$10,$B$8,B17)</f>
        <v/>
      </c>
      <c r="C19" s="6">
        <f>-PMT($B$10,$B$8,C17)</f>
        <v/>
      </c>
      <c r="D19" s="2" t="inlineStr">
        <is>
          <t>juros reais &gt; TR: parcela quase toda juros no início</t>
        </is>
      </c>
    </row>
    <row r="20">
      <c r="A20" t="inlineStr">
        <is>
          <t>1ª parcela SAC (R$/mês)</t>
        </is>
      </c>
      <c r="B20" s="6">
        <f>B17/$B$8+B17*$B$10</f>
        <v/>
      </c>
      <c r="C20" s="6">
        <f>C17/$B$8+C17*$B$10</f>
        <v/>
      </c>
    </row>
    <row r="21">
      <c r="A21" t="inlineStr">
        <is>
          <t>Renda familiar mínima — Price (R$/mês)</t>
        </is>
      </c>
      <c r="B21" s="6">
        <f>B19/$B$9</f>
        <v/>
      </c>
      <c r="C21" s="6">
        <f>C19/$B$9</f>
        <v/>
      </c>
      <c r="D21" s="2" t="inlineStr">
        <is>
          <t>público-alvo: renda &gt; R$ 20 mil = 58 % de intenção de compra (demanda §2)</t>
        </is>
      </c>
    </row>
    <row r="22">
      <c r="A22" t="inlineStr">
        <is>
          <t>Renda familiar mínima — SAC (R$/mês)</t>
        </is>
      </c>
      <c r="B22" s="6">
        <f>B20/$B$9</f>
        <v/>
      </c>
      <c r="C22" s="6">
        <f>C20/$B$9</f>
        <v/>
      </c>
    </row>
    <row r="23">
      <c r="A23" t="inlineStr">
        <is>
          <t>Parcela na obra (40 % em 30 meses, sem juros da incorporadora)</t>
        </is>
      </c>
      <c r="B23" s="6">
        <f>B16/Premissas!$B$16</f>
        <v/>
      </c>
      <c r="C23" s="6">
        <f>C16/Premissas!$B$16</f>
        <v/>
      </c>
    </row>
    <row r="25">
      <c r="A25" s="2" t="inlineStr">
        <is>
          <t>Por que isto importa para o funding: 60 % do VGV (R$ 71 M de tabela) entra no mês das chaves pelo repasse — é esse dinheiro que amortiza o plano empresário. Se o comprador NÃO cabe no SFH, o repasse vira SFI (taxa maior, LTV menor) e a chave atrasa.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SENSIBILIDADE — onde o projeto quebra (pilha E-R, medida no modelo)</t>
        </is>
      </c>
    </row>
    <row r="2">
      <c r="A2" s="2" t="inlineStr">
        <is>
          <t>Piso de disciplina: margem 20 % (Lavvi 26,4 % · Cyrela 25,4 %). Vermelho = abaixo do piso.</t>
        </is>
      </c>
    </row>
    <row r="4">
      <c r="A4" s="4" t="inlineStr">
        <is>
          <t>Custo de obra (R$/m² construído REAL; REV00 = 2.748 · meta = 2.237)</t>
        </is>
      </c>
    </row>
    <row r="5">
      <c r="A5" s="3" t="inlineStr">
        <is>
          <t>Valor</t>
        </is>
      </c>
      <c r="B5" s="3" t="inlineStr">
        <is>
          <t>Resultado (R$)</t>
        </is>
      </c>
      <c r="C5" s="3" t="inlineStr">
        <is>
          <t>Margem</t>
        </is>
      </c>
      <c r="D5" s="3" t="inlineStr">
        <is>
          <t>TIR a.a.</t>
        </is>
      </c>
      <c r="E5" s="3" t="inlineStr">
        <is>
          <t>Exposição (R$)</t>
        </is>
      </c>
      <c r="F5" s="3" t="inlineStr">
        <is>
          <t>Mês pico</t>
        </is>
      </c>
      <c r="G5" s="3" t="inlineStr">
        <is>
          <t>Payback</t>
        </is>
      </c>
      <c r="H5" s="3" t="inlineStr">
        <is>
          <t>Juros (R$)</t>
        </is>
      </c>
    </row>
    <row r="6">
      <c r="A6" t="inlineStr">
        <is>
          <t>R$ 2,237/m² = R$ 48.0 M</t>
        </is>
      </c>
      <c r="B6" s="6" t="n">
        <v>36941025.74591349</v>
      </c>
      <c r="C6" s="38" t="n">
        <v>0.3111609311481932</v>
      </c>
      <c r="D6" s="10" t="n">
        <v>0.6405876868753928</v>
      </c>
      <c r="E6" s="6" t="n">
        <v>12710145.79759864</v>
      </c>
      <c r="F6" t="n">
        <v>19</v>
      </c>
      <c r="G6" t="n">
        <v>36</v>
      </c>
      <c r="H6" s="6" t="n">
        <v>7541656.143942207</v>
      </c>
    </row>
    <row r="7">
      <c r="A7" t="inlineStr">
        <is>
          <t>R$ 2,400/m² = R$ 51.5 M</t>
        </is>
      </c>
      <c r="B7" s="6" t="n">
        <v>32894171.61651582</v>
      </c>
      <c r="C7" s="38" t="n">
        <v>0.2770735479827815</v>
      </c>
      <c r="D7" s="10" t="n">
        <v>0.5546748520071942</v>
      </c>
      <c r="E7" s="6" t="n">
        <v>13868635.69759864</v>
      </c>
      <c r="F7" t="n">
        <v>19</v>
      </c>
      <c r="G7" t="n">
        <v>36</v>
      </c>
      <c r="H7" s="6" t="n">
        <v>8091182.273339879</v>
      </c>
    </row>
    <row r="8">
      <c r="A8" t="inlineStr">
        <is>
          <t>R$ 2,600/m² = R$ 55.8 M</t>
        </is>
      </c>
      <c r="B8" s="6" t="n">
        <v>27928706.42707084</v>
      </c>
      <c r="C8" s="38" t="n">
        <v>0.2352485379638716</v>
      </c>
      <c r="D8" s="10" t="n">
        <v>0.4558702796434437</v>
      </c>
      <c r="E8" s="6" t="n">
        <v>15290095.69759864</v>
      </c>
      <c r="F8" t="n">
        <v>19</v>
      </c>
      <c r="G8" t="n">
        <v>36</v>
      </c>
      <c r="H8" s="6" t="n">
        <v>8765447.462784868</v>
      </c>
    </row>
    <row r="9">
      <c r="A9" t="inlineStr">
        <is>
          <t>R$ 2,748/m² = R$ 59.0 M</t>
        </is>
      </c>
      <c r="B9" s="6" t="n">
        <v>24254262.18688155</v>
      </c>
      <c r="C9" s="38" t="n">
        <v>0.2042980305498783</v>
      </c>
      <c r="D9" s="10" t="n">
        <v>0.3868904963496755</v>
      </c>
      <c r="E9" s="6" t="n">
        <v>16341976.09759864</v>
      </c>
      <c r="F9" t="n">
        <v>19</v>
      </c>
      <c r="G9" t="n">
        <v>36</v>
      </c>
      <c r="H9" s="6" t="n">
        <v>9264403.702974152</v>
      </c>
    </row>
    <row r="10">
      <c r="A10" t="inlineStr">
        <is>
          <t>R$ 2,900/m² = R$ 62.2 M</t>
        </is>
      </c>
      <c r="B10" s="6" t="n">
        <v>20480508.64290334</v>
      </c>
      <c r="C10" s="39" t="n">
        <v>0.1725110229355066</v>
      </c>
      <c r="D10" s="10" t="n">
        <v>0.3193143075547715</v>
      </c>
      <c r="E10" s="6" t="n">
        <v>17422285.69759864</v>
      </c>
      <c r="F10" t="n">
        <v>19</v>
      </c>
      <c r="G10" t="n">
        <v>36</v>
      </c>
      <c r="H10" s="6" t="n">
        <v>9776845.246952366</v>
      </c>
    </row>
    <row r="11">
      <c r="A11" t="inlineStr">
        <is>
          <t>R$ 3,223/m² = R$ 69.2 M</t>
        </is>
      </c>
      <c r="B11" s="6" t="n">
        <v>12461282.36194971</v>
      </c>
      <c r="C11" s="39" t="n">
        <v>0.1049636317549672</v>
      </c>
      <c r="D11" s="10" t="n">
        <v>0.1854339060876773</v>
      </c>
      <c r="E11" s="6" t="n">
        <v>19717943.59759864</v>
      </c>
      <c r="F11" t="n">
        <v>19</v>
      </c>
      <c r="G11" t="n">
        <v>44</v>
      </c>
      <c r="H11" s="6" t="n">
        <v>10865783.527906</v>
      </c>
    </row>
    <row r="13">
      <c r="A13" s="4" t="inlineStr">
        <is>
          <t>Prazo de obra (meses)</t>
        </is>
      </c>
    </row>
    <row r="14">
      <c r="A14" s="3" t="inlineStr">
        <is>
          <t>Valor</t>
        </is>
      </c>
      <c r="B14" s="3" t="inlineStr">
        <is>
          <t>Resultado (R$)</t>
        </is>
      </c>
      <c r="C14" s="3" t="inlineStr">
        <is>
          <t>Margem</t>
        </is>
      </c>
      <c r="D14" s="3" t="inlineStr">
        <is>
          <t>TIR a.a.</t>
        </is>
      </c>
      <c r="E14" s="3" t="inlineStr">
        <is>
          <t>Exposição (R$)</t>
        </is>
      </c>
      <c r="F14" s="3" t="inlineStr">
        <is>
          <t>Mês pico</t>
        </is>
      </c>
      <c r="G14" s="3" t="inlineStr">
        <is>
          <t>Payback</t>
        </is>
      </c>
      <c r="H14" s="3" t="inlineStr">
        <is>
          <t>Juros (R$)</t>
        </is>
      </c>
    </row>
    <row r="15">
      <c r="A15" t="inlineStr">
        <is>
          <t>30 meses</t>
        </is>
      </c>
      <c r="B15" s="6" t="n">
        <v>25636246.3111026</v>
      </c>
      <c r="C15" s="38" t="n">
        <v>0.21593873240484</v>
      </c>
      <c r="D15" s="10" t="n">
        <v>0.4654324030164436</v>
      </c>
      <c r="E15" s="6" t="n">
        <v>16838853.71747355</v>
      </c>
      <c r="F15" t="n">
        <v>16</v>
      </c>
      <c r="G15" t="n">
        <v>30</v>
      </c>
      <c r="H15" s="6" t="n">
        <v>7497788.115380529</v>
      </c>
    </row>
    <row r="16">
      <c r="A16" t="inlineStr">
        <is>
          <t>33 meses</t>
        </is>
      </c>
      <c r="B16" s="6" t="n">
        <v>24955617.14856973</v>
      </c>
      <c r="C16" s="38" t="n">
        <v>0.2102056700519687</v>
      </c>
      <c r="D16" s="10" t="n">
        <v>0.4227940550769631</v>
      </c>
      <c r="E16" s="6" t="n">
        <v>16458693.89737493</v>
      </c>
      <c r="F16" t="n">
        <v>17</v>
      </c>
      <c r="G16" t="n">
        <v>33</v>
      </c>
      <c r="H16" s="6" t="n">
        <v>8378435.416985966</v>
      </c>
    </row>
    <row r="17">
      <c r="A17" t="inlineStr">
        <is>
          <t>36 meses</t>
        </is>
      </c>
      <c r="B17" s="6" t="n">
        <v>24251132.10272048</v>
      </c>
      <c r="C17" s="38" t="n">
        <v>0.2042716652857184</v>
      </c>
      <c r="D17" s="10" t="n">
        <v>0.386833117975091</v>
      </c>
      <c r="E17" s="6" t="n">
        <v>16342872.14444658</v>
      </c>
      <c r="F17" t="n">
        <v>19</v>
      </c>
      <c r="G17" t="n">
        <v>36</v>
      </c>
      <c r="H17" s="6" t="n">
        <v>9264828.740047086</v>
      </c>
    </row>
    <row r="18">
      <c r="A18" t="inlineStr">
        <is>
          <t>40 meses</t>
        </is>
      </c>
      <c r="B18" s="6" t="n">
        <v>23356913.06289561</v>
      </c>
      <c r="C18" s="39" t="n">
        <v>0.1967394968235816</v>
      </c>
      <c r="D18" s="10" t="n">
        <v>0.3503579273360029</v>
      </c>
      <c r="E18" s="6" t="n">
        <v>16158528.13094213</v>
      </c>
      <c r="F18" t="n">
        <v>21</v>
      </c>
      <c r="G18" t="n">
        <v>40</v>
      </c>
      <c r="H18" s="6" t="n">
        <v>10376233.63192422</v>
      </c>
    </row>
    <row r="19">
      <c r="A19" t="inlineStr">
        <is>
          <t>42 meses</t>
        </is>
      </c>
      <c r="B19" s="6" t="n">
        <v>22716229.85864789</v>
      </c>
      <c r="C19" s="39" t="n">
        <v>0.1913429064913064</v>
      </c>
      <c r="D19" s="10" t="n">
        <v>0.3266312821367126</v>
      </c>
      <c r="E19" s="6" t="n">
        <v>16105232.84939798</v>
      </c>
      <c r="F19" t="n">
        <v>23</v>
      </c>
      <c r="G19" t="n">
        <v>42</v>
      </c>
      <c r="H19" s="6" t="n">
        <v>11115628.24100582</v>
      </c>
    </row>
    <row r="21">
      <c r="A21" s="4" t="inlineStr">
        <is>
          <t>Preço do core (R$/un · Sky fixo em 2,0 M)</t>
        </is>
      </c>
    </row>
    <row r="22">
      <c r="A22" s="3" t="inlineStr">
        <is>
          <t>Valor</t>
        </is>
      </c>
      <c r="B22" s="3" t="inlineStr">
        <is>
          <t>Resultado (R$)</t>
        </is>
      </c>
      <c r="C22" s="3" t="inlineStr">
        <is>
          <t>Margem</t>
        </is>
      </c>
      <c r="D22" s="3" t="inlineStr">
        <is>
          <t>TIR a.a.</t>
        </is>
      </c>
      <c r="E22" s="3" t="inlineStr">
        <is>
          <t>Exposição (R$)</t>
        </is>
      </c>
      <c r="F22" s="3" t="inlineStr">
        <is>
          <t>Mês pico</t>
        </is>
      </c>
      <c r="G22" s="3" t="inlineStr">
        <is>
          <t>Payback</t>
        </is>
      </c>
      <c r="H22" s="3" t="inlineStr">
        <is>
          <t>Juros (R$)</t>
        </is>
      </c>
    </row>
    <row r="23">
      <c r="A23" t="inlineStr">
        <is>
          <t>R$ 972,000 (9,000/m²)</t>
        </is>
      </c>
      <c r="B23" s="6" t="n">
        <v>17277008.11679754</v>
      </c>
      <c r="C23" s="39" t="n">
        <v>0.1575679275207714</v>
      </c>
      <c r="D23" s="10" t="n">
        <v>0.2882648880784335</v>
      </c>
      <c r="E23" s="6" t="n">
        <v>16586551.03925272</v>
      </c>
      <c r="F23" t="n">
        <v>19</v>
      </c>
      <c r="G23" t="n">
        <v>38</v>
      </c>
      <c r="H23" s="6" t="n">
        <v>9264828.740047086</v>
      </c>
    </row>
    <row r="24">
      <c r="A24" t="inlineStr">
        <is>
          <t>R$ 1,026,000 (9,500/m²)</t>
        </is>
      </c>
      <c r="B24" s="6" t="n">
        <v>20764070.10975903</v>
      </c>
      <c r="C24" s="39" t="n">
        <v>0.1818474576977425</v>
      </c>
      <c r="D24" s="10" t="n">
        <v>0.338641382676826</v>
      </c>
      <c r="E24" s="6" t="n">
        <v>16464711.59184965</v>
      </c>
      <c r="F24" t="n">
        <v>19</v>
      </c>
      <c r="G24" t="n">
        <v>36</v>
      </c>
      <c r="H24" s="6" t="n">
        <v>9264828.740047086</v>
      </c>
    </row>
    <row r="25">
      <c r="A25" t="inlineStr">
        <is>
          <t>R$ 1,080,000 (10,000/m²)</t>
        </is>
      </c>
      <c r="B25" s="6" t="n">
        <v>24251132.10272048</v>
      </c>
      <c r="C25" s="38" t="n">
        <v>0.2042716652857184</v>
      </c>
      <c r="D25" s="10" t="n">
        <v>0.386833117975091</v>
      </c>
      <c r="E25" s="6" t="n">
        <v>16342872.14444658</v>
      </c>
      <c r="F25" t="n">
        <v>19</v>
      </c>
      <c r="G25" t="n">
        <v>36</v>
      </c>
      <c r="H25" s="6" t="n">
        <v>9264828.740047086</v>
      </c>
    </row>
    <row r="26">
      <c r="A26" t="inlineStr">
        <is>
          <t>R$ 1,134,000 (10,500/m²)</t>
        </is>
      </c>
      <c r="B26" s="6" t="n">
        <v>27738194.09568194</v>
      </c>
      <c r="C26" s="38" t="n">
        <v>0.2250453859907992</v>
      </c>
      <c r="D26" s="10" t="n">
        <v>0.4330054709822346</v>
      </c>
      <c r="E26" s="6" t="n">
        <v>16221032.69704351</v>
      </c>
      <c r="F26" t="n">
        <v>19</v>
      </c>
      <c r="G26" t="n">
        <v>36</v>
      </c>
      <c r="H26" s="6" t="n">
        <v>9264828.740047086</v>
      </c>
    </row>
    <row r="27">
      <c r="A27" t="inlineStr">
        <is>
          <t>R$ 1,188,000 (11,000/m²)</t>
        </is>
      </c>
      <c r="B27" s="6" t="n">
        <v>31225256.08864341</v>
      </c>
      <c r="C27" s="38" t="n">
        <v>0.2443443727983239</v>
      </c>
      <c r="D27" s="10" t="n">
        <v>0.477308475616393</v>
      </c>
      <c r="E27" s="6" t="n">
        <v>16099193.24964043</v>
      </c>
      <c r="F27" t="n">
        <v>19</v>
      </c>
      <c r="G27" t="n">
        <v>36</v>
      </c>
      <c r="H27" s="6" t="n">
        <v>9264828.740047086</v>
      </c>
    </row>
    <row r="29">
      <c r="A29" s="4" t="inlineStr">
        <is>
          <t>Velocidade de vendas (VSO/mês do estoque)</t>
        </is>
      </c>
    </row>
    <row r="30">
      <c r="A30" s="3" t="inlineStr">
        <is>
          <t>Valor</t>
        </is>
      </c>
      <c r="B30" s="3" t="inlineStr">
        <is>
          <t>Resultado (R$)</t>
        </is>
      </c>
      <c r="C30" s="3" t="inlineStr">
        <is>
          <t>Margem</t>
        </is>
      </c>
      <c r="D30" s="3" t="inlineStr">
        <is>
          <t>TIR a.a.</t>
        </is>
      </c>
      <c r="E30" s="3" t="inlineStr">
        <is>
          <t>Exposição (R$)</t>
        </is>
      </c>
      <c r="F30" s="3" t="inlineStr">
        <is>
          <t>Mês pico</t>
        </is>
      </c>
      <c r="G30" s="3" t="inlineStr">
        <is>
          <t>Payback</t>
        </is>
      </c>
      <c r="H30" s="3" t="inlineStr">
        <is>
          <t>Juros (R$)</t>
        </is>
      </c>
    </row>
    <row r="31">
      <c r="A31" t="inlineStr">
        <is>
          <t>2.0 %/mês</t>
        </is>
      </c>
      <c r="B31" s="6" t="n">
        <v>26450044.72207592</v>
      </c>
      <c r="C31" s="38" t="n">
        <v>0.2227935033867581</v>
      </c>
      <c r="D31" s="10" t="n">
        <v>0.3427153326391992</v>
      </c>
      <c r="E31" s="6" t="n">
        <v>17631927.47211898</v>
      </c>
      <c r="F31" t="n">
        <v>19</v>
      </c>
      <c r="G31" t="n">
        <v>42</v>
      </c>
      <c r="H31" s="6" t="n">
        <v>9264828.740047086</v>
      </c>
    </row>
    <row r="32">
      <c r="A32" t="inlineStr">
        <is>
          <t>2.5 %/mês</t>
        </is>
      </c>
      <c r="B32" s="6" t="n">
        <v>25619781.03208613</v>
      </c>
      <c r="C32" s="38" t="n">
        <v>0.2158000423861702</v>
      </c>
      <c r="D32" s="10" t="n">
        <v>0.3585177095603447</v>
      </c>
      <c r="E32" s="6" t="n">
        <v>17178766.99608103</v>
      </c>
      <c r="F32" t="n">
        <v>19</v>
      </c>
      <c r="G32" t="n">
        <v>39</v>
      </c>
      <c r="H32" s="6" t="n">
        <v>9264828.740047086</v>
      </c>
    </row>
    <row r="33">
      <c r="A33" t="inlineStr">
        <is>
          <t>3.5 %/mês</t>
        </is>
      </c>
      <c r="B33" s="6" t="n">
        <v>24251132.10272048</v>
      </c>
      <c r="C33" s="38" t="n">
        <v>0.2042716652857184</v>
      </c>
      <c r="D33" s="10" t="n">
        <v>0.386833117975091</v>
      </c>
      <c r="E33" s="6" t="n">
        <v>16342872.14444658</v>
      </c>
      <c r="F33" t="n">
        <v>19</v>
      </c>
      <c r="G33" t="n">
        <v>36</v>
      </c>
      <c r="H33" s="6" t="n">
        <v>9264828.740047086</v>
      </c>
    </row>
    <row r="34">
      <c r="A34" t="inlineStr">
        <is>
          <t>4.5 %/mês</t>
        </is>
      </c>
      <c r="B34" s="6" t="n">
        <v>23189678.66246779</v>
      </c>
      <c r="C34" s="39" t="n">
        <v>0.1953308512674173</v>
      </c>
      <c r="D34" s="10" t="n">
        <v>0.4104199812716451</v>
      </c>
      <c r="E34" s="6" t="n">
        <v>15593029.84313631</v>
      </c>
      <c r="F34" t="n">
        <v>19</v>
      </c>
      <c r="G34" t="n">
        <v>36</v>
      </c>
      <c r="H34" s="6" t="n">
        <v>9264828.740047086</v>
      </c>
    </row>
    <row r="35">
      <c r="A35" t="inlineStr">
        <is>
          <t>6.0 %/mês</t>
        </is>
      </c>
      <c r="B35" s="6" t="n">
        <v>22012721.18737575</v>
      </c>
      <c r="C35" s="39" t="n">
        <v>0.1854171259044453</v>
      </c>
      <c r="D35" s="10" t="n">
        <v>0.4374587108302717</v>
      </c>
      <c r="E35" s="6" t="n">
        <v>14610856.37757321</v>
      </c>
      <c r="F35" t="n">
        <v>19</v>
      </c>
      <c r="G35" t="n">
        <v>36</v>
      </c>
      <c r="H35" s="6" t="n">
        <v>9264828.740047086</v>
      </c>
    </row>
    <row r="37">
      <c r="A37" s="4" t="inlineStr">
        <is>
          <t>Permuta do terreno (% do VGV)</t>
        </is>
      </c>
    </row>
    <row r="38">
      <c r="A38" s="3" t="inlineStr">
        <is>
          <t>Valor</t>
        </is>
      </c>
      <c r="B38" s="3" t="inlineStr">
        <is>
          <t>Resultado (R$)</t>
        </is>
      </c>
      <c r="C38" s="3" t="inlineStr">
        <is>
          <t>Margem</t>
        </is>
      </c>
      <c r="D38" s="3" t="inlineStr">
        <is>
          <t>TIR a.a.</t>
        </is>
      </c>
      <c r="E38" s="3" t="inlineStr">
        <is>
          <t>Exposição (R$)</t>
        </is>
      </c>
      <c r="F38" s="3" t="inlineStr">
        <is>
          <t>Mês pico</t>
        </is>
      </c>
      <c r="G38" s="3" t="inlineStr">
        <is>
          <t>Payback</t>
        </is>
      </c>
      <c r="H38" s="3" t="inlineStr">
        <is>
          <t>Juros (R$)</t>
        </is>
      </c>
    </row>
    <row r="39">
      <c r="A39" t="inlineStr">
        <is>
          <t>10 % = R$ 11.9 M</t>
        </is>
      </c>
      <c r="B39" s="6" t="n">
        <v>25471516.37361972</v>
      </c>
      <c r="C39" s="38" t="n">
        <v>0.2145511823923494</v>
      </c>
      <c r="D39" s="10" t="n">
        <v>0.4051206004320889</v>
      </c>
      <c r="E39" s="6" t="n">
        <v>16205259.02942838</v>
      </c>
      <c r="F39" t="n">
        <v>19</v>
      </c>
      <c r="G39" t="n">
        <v>36</v>
      </c>
      <c r="H39" s="6" t="n">
        <v>9264828.740047086</v>
      </c>
    </row>
    <row r="40">
      <c r="A40" t="inlineStr">
        <is>
          <t>11 % = R$ 13.1 M</t>
        </is>
      </c>
      <c r="B40" s="6" t="n">
        <v>24251132.10272048</v>
      </c>
      <c r="C40" s="38" t="n">
        <v>0.2042716652857184</v>
      </c>
      <c r="D40" s="10" t="n">
        <v>0.386833117975091</v>
      </c>
      <c r="E40" s="6" t="n">
        <v>16342872.14444658</v>
      </c>
      <c r="F40" t="n">
        <v>19</v>
      </c>
      <c r="G40" t="n">
        <v>36</v>
      </c>
      <c r="H40" s="6" t="n">
        <v>9264828.740047086</v>
      </c>
    </row>
    <row r="41">
      <c r="A41" t="inlineStr">
        <is>
          <t>15 % = R$ 17.8 M</t>
        </is>
      </c>
      <c r="B41" s="6" t="n">
        <v>19369595.01912348</v>
      </c>
      <c r="C41" s="39" t="n">
        <v>0.1631535968591938</v>
      </c>
      <c r="D41" s="10" t="n">
        <v>0.3128107311595076</v>
      </c>
      <c r="E41" s="6" t="n">
        <v>16893324.60451941</v>
      </c>
      <c r="F41" t="n">
        <v>19</v>
      </c>
      <c r="G41" t="n">
        <v>36</v>
      </c>
      <c r="H41" s="6" t="n">
        <v>9264828.740047086</v>
      </c>
    </row>
    <row r="42">
      <c r="A42" t="inlineStr">
        <is>
          <t>18 % = R$ 21.4 M</t>
        </is>
      </c>
      <c r="B42" s="6" t="n">
        <v>15708442.20642571</v>
      </c>
      <c r="C42" s="39" t="n">
        <v>0.1323150455393002</v>
      </c>
      <c r="D42" s="10" t="n">
        <v>0.2562510831828237</v>
      </c>
      <c r="E42" s="6" t="n">
        <v>17306163.94957403</v>
      </c>
      <c r="F42" t="n">
        <v>19</v>
      </c>
      <c r="G42" t="n">
        <v>39</v>
      </c>
      <c r="H42" s="6" t="n">
        <v>9264828.740047086</v>
      </c>
    </row>
    <row r="43">
      <c r="A43" t="inlineStr">
        <is>
          <t>20 % = R$ 23.7 M</t>
        </is>
      </c>
      <c r="B43" s="6" t="n">
        <v>13267673.66462724</v>
      </c>
      <c r="C43" s="39" t="n">
        <v>0.111756011326038</v>
      </c>
      <c r="D43" s="10" t="n">
        <v>0.2179756071491596</v>
      </c>
      <c r="E43" s="6" t="n">
        <v>17581390.17961045</v>
      </c>
      <c r="F43" t="n">
        <v>19</v>
      </c>
      <c r="G43" t="n">
        <v>41</v>
      </c>
      <c r="H43" s="6" t="n">
        <v>9264828.740047086</v>
      </c>
    </row>
    <row r="45">
      <c r="A45" s="4" t="inlineStr">
        <is>
          <t>GRADE VIVA — margem estática custo de obra × preço do core (sem banco, sem tabela; fórmulas)</t>
        </is>
      </c>
    </row>
    <row r="46">
      <c r="A46" s="4" t="inlineStr">
        <is>
          <t>R$/m² real ↓ / preço core →</t>
        </is>
      </c>
      <c r="B46" s="51" t="n">
        <v>972000</v>
      </c>
      <c r="C46" s="51" t="n">
        <v>1026000</v>
      </c>
      <c r="D46" s="51" t="n">
        <v>1080000</v>
      </c>
      <c r="E46" s="51" t="n">
        <v>1134000</v>
      </c>
      <c r="F46" s="51" t="n">
        <v>1188000</v>
      </c>
    </row>
    <row r="47">
      <c r="A47" s="51" t="n">
        <v>2100</v>
      </c>
      <c r="B47" s="52">
        <f>((Premissas!$B$4*B$46+Premissas!$B$7*Premissas!$B$9)*(1-Premissas!$B$26-Premissas!$B$36-Premissas!$B$38-Premissas!$B$40)-Premissas!$B$14*$A47-(Premissas!$B$4*B$46+Premissas!$B$7*Premissas!$B$9)*Premissas!$B$35-(Premissas!$B$4*B$46+Premissas!$B$7*Premissas!$B$9)*(1-Premissas!$B$26)*Premissas!$B$39+Premissas!$B$33)/(Premissas!$B$4*B$46+Premissas!$B$7*Premissas!$B$9)</f>
        <v/>
      </c>
      <c r="C47" s="52">
        <f>((Premissas!$B$4*C$46+Premissas!$B$7*Premissas!$B$9)*(1-Premissas!$B$26-Premissas!$B$36-Premissas!$B$38-Premissas!$B$40)-Premissas!$B$14*$A47-(Premissas!$B$4*C$46+Premissas!$B$7*Premissas!$B$9)*Premissas!$B$35-(Premissas!$B$4*C$46+Premissas!$B$7*Premissas!$B$9)*(1-Premissas!$B$26)*Premissas!$B$39+Premissas!$B$33)/(Premissas!$B$4*C$46+Premissas!$B$7*Premissas!$B$9)</f>
        <v/>
      </c>
      <c r="D47" s="52">
        <f>((Premissas!$B$4*D$46+Premissas!$B$7*Premissas!$B$9)*(1-Premissas!$B$26-Premissas!$B$36-Premissas!$B$38-Premissas!$B$40)-Premissas!$B$14*$A47-(Premissas!$B$4*D$46+Premissas!$B$7*Premissas!$B$9)*Premissas!$B$35-(Premissas!$B$4*D$46+Premissas!$B$7*Premissas!$B$9)*(1-Premissas!$B$26)*Premissas!$B$39+Premissas!$B$33)/(Premissas!$B$4*D$46+Premissas!$B$7*Premissas!$B$9)</f>
        <v/>
      </c>
      <c r="E47" s="52">
        <f>((Premissas!$B$4*E$46+Premissas!$B$7*Premissas!$B$9)*(1-Premissas!$B$26-Premissas!$B$36-Premissas!$B$38-Premissas!$B$40)-Premissas!$B$14*$A47-(Premissas!$B$4*E$46+Premissas!$B$7*Premissas!$B$9)*Premissas!$B$35-(Premissas!$B$4*E$46+Premissas!$B$7*Premissas!$B$9)*(1-Premissas!$B$26)*Premissas!$B$39+Premissas!$B$33)/(Premissas!$B$4*E$46+Premissas!$B$7*Premissas!$B$9)</f>
        <v/>
      </c>
      <c r="F47" s="52">
        <f>((Premissas!$B$4*F$46+Premissas!$B$7*Premissas!$B$9)*(1-Premissas!$B$26-Premissas!$B$36-Premissas!$B$38-Premissas!$B$40)-Premissas!$B$14*$A47-(Premissas!$B$4*F$46+Premissas!$B$7*Premissas!$B$9)*Premissas!$B$35-(Premissas!$B$4*F$46+Premissas!$B$7*Premissas!$B$9)*(1-Premissas!$B$26)*Premissas!$B$39+Premissas!$B$33)/(Premissas!$B$4*F$46+Premissas!$B$7*Premissas!$B$9)</f>
        <v/>
      </c>
    </row>
    <row r="48">
      <c r="A48" s="51" t="n">
        <v>2237</v>
      </c>
      <c r="B48" s="52">
        <f>((Premissas!$B$4*B$46+Premissas!$B$7*Premissas!$B$9)*(1-Premissas!$B$26-Premissas!$B$36-Premissas!$B$38-Premissas!$B$40)-Premissas!$B$14*$A48-(Premissas!$B$4*B$46+Premissas!$B$7*Premissas!$B$9)*Premissas!$B$35-(Premissas!$B$4*B$46+Premissas!$B$7*Premissas!$B$9)*(1-Premissas!$B$26)*Premissas!$B$39+Premissas!$B$33)/(Premissas!$B$4*B$46+Premissas!$B$7*Premissas!$B$9)</f>
        <v/>
      </c>
      <c r="C48" s="52">
        <f>((Premissas!$B$4*C$46+Premissas!$B$7*Premissas!$B$9)*(1-Premissas!$B$26-Premissas!$B$36-Premissas!$B$38-Premissas!$B$40)-Premissas!$B$14*$A48-(Premissas!$B$4*C$46+Premissas!$B$7*Premissas!$B$9)*Premissas!$B$35-(Premissas!$B$4*C$46+Premissas!$B$7*Premissas!$B$9)*(1-Premissas!$B$26)*Premissas!$B$39+Premissas!$B$33)/(Premissas!$B$4*C$46+Premissas!$B$7*Premissas!$B$9)</f>
        <v/>
      </c>
      <c r="D48" s="52">
        <f>((Premissas!$B$4*D$46+Premissas!$B$7*Premissas!$B$9)*(1-Premissas!$B$26-Premissas!$B$36-Premissas!$B$38-Premissas!$B$40)-Premissas!$B$14*$A48-(Premissas!$B$4*D$46+Premissas!$B$7*Premissas!$B$9)*Premissas!$B$35-(Premissas!$B$4*D$46+Premissas!$B$7*Premissas!$B$9)*(1-Premissas!$B$26)*Premissas!$B$39+Premissas!$B$33)/(Premissas!$B$4*D$46+Premissas!$B$7*Premissas!$B$9)</f>
        <v/>
      </c>
      <c r="E48" s="52">
        <f>((Premissas!$B$4*E$46+Premissas!$B$7*Premissas!$B$9)*(1-Premissas!$B$26-Premissas!$B$36-Premissas!$B$38-Premissas!$B$40)-Premissas!$B$14*$A48-(Premissas!$B$4*E$46+Premissas!$B$7*Premissas!$B$9)*Premissas!$B$35-(Premissas!$B$4*E$46+Premissas!$B$7*Premissas!$B$9)*(1-Premissas!$B$26)*Premissas!$B$39+Premissas!$B$33)/(Premissas!$B$4*E$46+Premissas!$B$7*Premissas!$B$9)</f>
        <v/>
      </c>
      <c r="F48" s="52">
        <f>((Premissas!$B$4*F$46+Premissas!$B$7*Premissas!$B$9)*(1-Premissas!$B$26-Premissas!$B$36-Premissas!$B$38-Premissas!$B$40)-Premissas!$B$14*$A48-(Premissas!$B$4*F$46+Premissas!$B$7*Premissas!$B$9)*Premissas!$B$35-(Premissas!$B$4*F$46+Premissas!$B$7*Premissas!$B$9)*(1-Premissas!$B$26)*Premissas!$B$39+Premissas!$B$33)/(Premissas!$B$4*F$46+Premissas!$B$7*Premissas!$B$9)</f>
        <v/>
      </c>
    </row>
    <row r="49">
      <c r="A49" s="51" t="n">
        <v>2400</v>
      </c>
      <c r="B49" s="52">
        <f>((Premissas!$B$4*B$46+Premissas!$B$7*Premissas!$B$9)*(1-Premissas!$B$26-Premissas!$B$36-Premissas!$B$38-Premissas!$B$40)-Premissas!$B$14*$A49-(Premissas!$B$4*B$46+Premissas!$B$7*Premissas!$B$9)*Premissas!$B$35-(Premissas!$B$4*B$46+Premissas!$B$7*Premissas!$B$9)*(1-Premissas!$B$26)*Premissas!$B$39+Premissas!$B$33)/(Premissas!$B$4*B$46+Premissas!$B$7*Premissas!$B$9)</f>
        <v/>
      </c>
      <c r="C49" s="52">
        <f>((Premissas!$B$4*C$46+Premissas!$B$7*Premissas!$B$9)*(1-Premissas!$B$26-Premissas!$B$36-Premissas!$B$38-Premissas!$B$40)-Premissas!$B$14*$A49-(Premissas!$B$4*C$46+Premissas!$B$7*Premissas!$B$9)*Premissas!$B$35-(Premissas!$B$4*C$46+Premissas!$B$7*Premissas!$B$9)*(1-Premissas!$B$26)*Premissas!$B$39+Premissas!$B$33)/(Premissas!$B$4*C$46+Premissas!$B$7*Premissas!$B$9)</f>
        <v/>
      </c>
      <c r="D49" s="52">
        <f>((Premissas!$B$4*D$46+Premissas!$B$7*Premissas!$B$9)*(1-Premissas!$B$26-Premissas!$B$36-Premissas!$B$38-Premissas!$B$40)-Premissas!$B$14*$A49-(Premissas!$B$4*D$46+Premissas!$B$7*Premissas!$B$9)*Premissas!$B$35-(Premissas!$B$4*D$46+Premissas!$B$7*Premissas!$B$9)*(1-Premissas!$B$26)*Premissas!$B$39+Premissas!$B$33)/(Premissas!$B$4*D$46+Premissas!$B$7*Premissas!$B$9)</f>
        <v/>
      </c>
      <c r="E49" s="52">
        <f>((Premissas!$B$4*E$46+Premissas!$B$7*Premissas!$B$9)*(1-Premissas!$B$26-Premissas!$B$36-Premissas!$B$38-Premissas!$B$40)-Premissas!$B$14*$A49-(Premissas!$B$4*E$46+Premissas!$B$7*Premissas!$B$9)*Premissas!$B$35-(Premissas!$B$4*E$46+Premissas!$B$7*Premissas!$B$9)*(1-Premissas!$B$26)*Premissas!$B$39+Premissas!$B$33)/(Premissas!$B$4*E$46+Premissas!$B$7*Premissas!$B$9)</f>
        <v/>
      </c>
      <c r="F49" s="52">
        <f>((Premissas!$B$4*F$46+Premissas!$B$7*Premissas!$B$9)*(1-Premissas!$B$26-Premissas!$B$36-Premissas!$B$38-Premissas!$B$40)-Premissas!$B$14*$A49-(Premissas!$B$4*F$46+Premissas!$B$7*Premissas!$B$9)*Premissas!$B$35-(Premissas!$B$4*F$46+Premissas!$B$7*Premissas!$B$9)*(1-Premissas!$B$26)*Premissas!$B$39+Premissas!$B$33)/(Premissas!$B$4*F$46+Premissas!$B$7*Premissas!$B$9)</f>
        <v/>
      </c>
    </row>
    <row r="50">
      <c r="A50" s="51" t="n">
        <v>2600</v>
      </c>
      <c r="B50" s="52">
        <f>((Premissas!$B$4*B$46+Premissas!$B$7*Premissas!$B$9)*(1-Premissas!$B$26-Premissas!$B$36-Premissas!$B$38-Premissas!$B$40)-Premissas!$B$14*$A50-(Premissas!$B$4*B$46+Premissas!$B$7*Premissas!$B$9)*Premissas!$B$35-(Premissas!$B$4*B$46+Premissas!$B$7*Premissas!$B$9)*(1-Premissas!$B$26)*Premissas!$B$39+Premissas!$B$33)/(Premissas!$B$4*B$46+Premissas!$B$7*Premissas!$B$9)</f>
        <v/>
      </c>
      <c r="C50" s="52">
        <f>((Premissas!$B$4*C$46+Premissas!$B$7*Premissas!$B$9)*(1-Premissas!$B$26-Premissas!$B$36-Premissas!$B$38-Premissas!$B$40)-Premissas!$B$14*$A50-(Premissas!$B$4*C$46+Premissas!$B$7*Premissas!$B$9)*Premissas!$B$35-(Premissas!$B$4*C$46+Premissas!$B$7*Premissas!$B$9)*(1-Premissas!$B$26)*Premissas!$B$39+Premissas!$B$33)/(Premissas!$B$4*C$46+Premissas!$B$7*Premissas!$B$9)</f>
        <v/>
      </c>
      <c r="D50" s="52">
        <f>((Premissas!$B$4*D$46+Premissas!$B$7*Premissas!$B$9)*(1-Premissas!$B$26-Premissas!$B$36-Premissas!$B$38-Premissas!$B$40)-Premissas!$B$14*$A50-(Premissas!$B$4*D$46+Premissas!$B$7*Premissas!$B$9)*Premissas!$B$35-(Premissas!$B$4*D$46+Premissas!$B$7*Premissas!$B$9)*(1-Premissas!$B$26)*Premissas!$B$39+Premissas!$B$33)/(Premissas!$B$4*D$46+Premissas!$B$7*Premissas!$B$9)</f>
        <v/>
      </c>
      <c r="E50" s="52">
        <f>((Premissas!$B$4*E$46+Premissas!$B$7*Premissas!$B$9)*(1-Premissas!$B$26-Premissas!$B$36-Premissas!$B$38-Premissas!$B$40)-Premissas!$B$14*$A50-(Premissas!$B$4*E$46+Premissas!$B$7*Premissas!$B$9)*Premissas!$B$35-(Premissas!$B$4*E$46+Premissas!$B$7*Premissas!$B$9)*(1-Premissas!$B$26)*Premissas!$B$39+Premissas!$B$33)/(Premissas!$B$4*E$46+Premissas!$B$7*Premissas!$B$9)</f>
        <v/>
      </c>
      <c r="F50" s="52">
        <f>((Premissas!$B$4*F$46+Premissas!$B$7*Premissas!$B$9)*(1-Premissas!$B$26-Premissas!$B$36-Premissas!$B$38-Premissas!$B$40)-Premissas!$B$14*$A50-(Premissas!$B$4*F$46+Premissas!$B$7*Premissas!$B$9)*Premissas!$B$35-(Premissas!$B$4*F$46+Premissas!$B$7*Premissas!$B$9)*(1-Premissas!$B$26)*Premissas!$B$39+Premissas!$B$33)/(Premissas!$B$4*F$46+Premissas!$B$7*Premissas!$B$9)</f>
        <v/>
      </c>
    </row>
    <row r="51">
      <c r="A51" s="51" t="n">
        <v>2748</v>
      </c>
      <c r="B51" s="52">
        <f>((Premissas!$B$4*B$46+Premissas!$B$7*Premissas!$B$9)*(1-Premissas!$B$26-Premissas!$B$36-Premissas!$B$38-Premissas!$B$40)-Premissas!$B$14*$A51-(Premissas!$B$4*B$46+Premissas!$B$7*Premissas!$B$9)*Premissas!$B$35-(Premissas!$B$4*B$46+Premissas!$B$7*Premissas!$B$9)*(1-Premissas!$B$26)*Premissas!$B$39+Premissas!$B$33)/(Premissas!$B$4*B$46+Premissas!$B$7*Premissas!$B$9)</f>
        <v/>
      </c>
      <c r="C51" s="52">
        <f>((Premissas!$B$4*C$46+Premissas!$B$7*Premissas!$B$9)*(1-Premissas!$B$26-Premissas!$B$36-Premissas!$B$38-Premissas!$B$40)-Premissas!$B$14*$A51-(Premissas!$B$4*C$46+Premissas!$B$7*Premissas!$B$9)*Premissas!$B$35-(Premissas!$B$4*C$46+Premissas!$B$7*Premissas!$B$9)*(1-Premissas!$B$26)*Premissas!$B$39+Premissas!$B$33)/(Premissas!$B$4*C$46+Premissas!$B$7*Premissas!$B$9)</f>
        <v/>
      </c>
      <c r="D51" s="52">
        <f>((Premissas!$B$4*D$46+Premissas!$B$7*Premissas!$B$9)*(1-Premissas!$B$26-Premissas!$B$36-Premissas!$B$38-Premissas!$B$40)-Premissas!$B$14*$A51-(Premissas!$B$4*D$46+Premissas!$B$7*Premissas!$B$9)*Premissas!$B$35-(Premissas!$B$4*D$46+Premissas!$B$7*Premissas!$B$9)*(1-Premissas!$B$26)*Premissas!$B$39+Premissas!$B$33)/(Premissas!$B$4*D$46+Premissas!$B$7*Premissas!$B$9)</f>
        <v/>
      </c>
      <c r="E51" s="52">
        <f>((Premissas!$B$4*E$46+Premissas!$B$7*Premissas!$B$9)*(1-Premissas!$B$26-Premissas!$B$36-Premissas!$B$38-Premissas!$B$40)-Premissas!$B$14*$A51-(Premissas!$B$4*E$46+Premissas!$B$7*Premissas!$B$9)*Premissas!$B$35-(Premissas!$B$4*E$46+Premissas!$B$7*Premissas!$B$9)*(1-Premissas!$B$26)*Premissas!$B$39+Premissas!$B$33)/(Premissas!$B$4*E$46+Premissas!$B$7*Premissas!$B$9)</f>
        <v/>
      </c>
      <c r="F51" s="52">
        <f>((Premissas!$B$4*F$46+Premissas!$B$7*Premissas!$B$9)*(1-Premissas!$B$26-Premissas!$B$36-Premissas!$B$38-Premissas!$B$40)-Premissas!$B$14*$A51-(Premissas!$B$4*F$46+Premissas!$B$7*Premissas!$B$9)*Premissas!$B$35-(Premissas!$B$4*F$46+Premissas!$B$7*Premissas!$B$9)*(1-Premissas!$B$26)*Premissas!$B$39+Premissas!$B$33)/(Premissas!$B$4*F$46+Premissas!$B$7*Premissas!$B$9)</f>
        <v/>
      </c>
    </row>
    <row r="52">
      <c r="A52" s="51" t="n">
        <v>2900</v>
      </c>
      <c r="B52" s="52">
        <f>((Premissas!$B$4*B$46+Premissas!$B$7*Premissas!$B$9)*(1-Premissas!$B$26-Premissas!$B$36-Premissas!$B$38-Premissas!$B$40)-Premissas!$B$14*$A52-(Premissas!$B$4*B$46+Premissas!$B$7*Premissas!$B$9)*Premissas!$B$35-(Premissas!$B$4*B$46+Premissas!$B$7*Premissas!$B$9)*(1-Premissas!$B$26)*Premissas!$B$39+Premissas!$B$33)/(Premissas!$B$4*B$46+Premissas!$B$7*Premissas!$B$9)</f>
        <v/>
      </c>
      <c r="C52" s="52">
        <f>((Premissas!$B$4*C$46+Premissas!$B$7*Premissas!$B$9)*(1-Premissas!$B$26-Premissas!$B$36-Premissas!$B$38-Premissas!$B$40)-Premissas!$B$14*$A52-(Premissas!$B$4*C$46+Premissas!$B$7*Premissas!$B$9)*Premissas!$B$35-(Premissas!$B$4*C$46+Premissas!$B$7*Premissas!$B$9)*(1-Premissas!$B$26)*Premissas!$B$39+Premissas!$B$33)/(Premissas!$B$4*C$46+Premissas!$B$7*Premissas!$B$9)</f>
        <v/>
      </c>
      <c r="D52" s="52">
        <f>((Premissas!$B$4*D$46+Premissas!$B$7*Premissas!$B$9)*(1-Premissas!$B$26-Premissas!$B$36-Premissas!$B$38-Premissas!$B$40)-Premissas!$B$14*$A52-(Premissas!$B$4*D$46+Premissas!$B$7*Premissas!$B$9)*Premissas!$B$35-(Premissas!$B$4*D$46+Premissas!$B$7*Premissas!$B$9)*(1-Premissas!$B$26)*Premissas!$B$39+Premissas!$B$33)/(Premissas!$B$4*D$46+Premissas!$B$7*Premissas!$B$9)</f>
        <v/>
      </c>
      <c r="E52" s="52">
        <f>((Premissas!$B$4*E$46+Premissas!$B$7*Premissas!$B$9)*(1-Premissas!$B$26-Premissas!$B$36-Premissas!$B$38-Premissas!$B$40)-Premissas!$B$14*$A52-(Premissas!$B$4*E$46+Premissas!$B$7*Premissas!$B$9)*Premissas!$B$35-(Premissas!$B$4*E$46+Premissas!$B$7*Premissas!$B$9)*(1-Premissas!$B$26)*Premissas!$B$39+Premissas!$B$33)/(Premissas!$B$4*E$46+Premissas!$B$7*Premissas!$B$9)</f>
        <v/>
      </c>
      <c r="F52" s="52">
        <f>((Premissas!$B$4*F$46+Premissas!$B$7*Premissas!$B$9)*(1-Premissas!$B$26-Premissas!$B$36-Premissas!$B$38-Premissas!$B$40)-Premissas!$B$14*$A52-(Premissas!$B$4*F$46+Premissas!$B$7*Premissas!$B$9)*Premissas!$B$35-(Premissas!$B$4*F$46+Premissas!$B$7*Premissas!$B$9)*(1-Premissas!$B$26)*Premissas!$B$39+Premissas!$B$33)/(Premissas!$B$4*F$46+Premissas!$B$7*Premissas!$B$9)</f>
        <v/>
      </c>
    </row>
    <row r="53">
      <c r="A53" s="51" t="n">
        <v>3223</v>
      </c>
      <c r="B53" s="52">
        <f>((Premissas!$B$4*B$46+Premissas!$B$7*Premissas!$B$9)*(1-Premissas!$B$26-Premissas!$B$36-Premissas!$B$38-Premissas!$B$40)-Premissas!$B$14*$A53-(Premissas!$B$4*B$46+Premissas!$B$7*Premissas!$B$9)*Premissas!$B$35-(Premissas!$B$4*B$46+Premissas!$B$7*Premissas!$B$9)*(1-Premissas!$B$26)*Premissas!$B$39+Premissas!$B$33)/(Premissas!$B$4*B$46+Premissas!$B$7*Premissas!$B$9)</f>
        <v/>
      </c>
      <c r="C53" s="52">
        <f>((Premissas!$B$4*C$46+Premissas!$B$7*Premissas!$B$9)*(1-Premissas!$B$26-Premissas!$B$36-Premissas!$B$38-Premissas!$B$40)-Premissas!$B$14*$A53-(Premissas!$B$4*C$46+Premissas!$B$7*Premissas!$B$9)*Premissas!$B$35-(Premissas!$B$4*C$46+Premissas!$B$7*Premissas!$B$9)*(1-Premissas!$B$26)*Premissas!$B$39+Premissas!$B$33)/(Premissas!$B$4*C$46+Premissas!$B$7*Premissas!$B$9)</f>
        <v/>
      </c>
      <c r="D53" s="52">
        <f>((Premissas!$B$4*D$46+Premissas!$B$7*Premissas!$B$9)*(1-Premissas!$B$26-Premissas!$B$36-Premissas!$B$38-Premissas!$B$40)-Premissas!$B$14*$A53-(Premissas!$B$4*D$46+Premissas!$B$7*Premissas!$B$9)*Premissas!$B$35-(Premissas!$B$4*D$46+Premissas!$B$7*Premissas!$B$9)*(1-Premissas!$B$26)*Premissas!$B$39+Premissas!$B$33)/(Premissas!$B$4*D$46+Premissas!$B$7*Premissas!$B$9)</f>
        <v/>
      </c>
      <c r="E53" s="52">
        <f>((Premissas!$B$4*E$46+Premissas!$B$7*Premissas!$B$9)*(1-Premissas!$B$26-Premissas!$B$36-Premissas!$B$38-Premissas!$B$40)-Premissas!$B$14*$A53-(Premissas!$B$4*E$46+Premissas!$B$7*Premissas!$B$9)*Premissas!$B$35-(Premissas!$B$4*E$46+Premissas!$B$7*Premissas!$B$9)*(1-Premissas!$B$26)*Premissas!$B$39+Premissas!$B$33)/(Premissas!$B$4*E$46+Premissas!$B$7*Premissas!$B$9)</f>
        <v/>
      </c>
      <c r="F53" s="52">
        <f>((Premissas!$B$4*F$46+Premissas!$B$7*Premissas!$B$9)*(1-Premissas!$B$26-Premissas!$B$36-Premissas!$B$38-Premissas!$B$40)-Premissas!$B$14*$A53-(Premissas!$B$4*F$46+Premissas!$B$7*Premissas!$B$9)*Premissas!$B$35-(Premissas!$B$4*F$46+Premissas!$B$7*Premissas!$B$9)*(1-Premissas!$B$26)*Premissas!$B$39+Premissas!$B$33)/(Premissas!$B$4*F$46+Premissas!$B$7*Premissas!$B$9)</f>
        <v/>
      </c>
    </row>
    <row r="55">
      <c r="A55" s="2" t="inlineStr">
        <is>
          <t>Breakeven do piso de 20 % (pilha E-R, medido por bissecção): obra ≈ R$ 2,769/m² real ≈ R$ 59.4 M — o REV00 (58,96 M) está a R$ 0.4 M disso. É por isso que o orçamento executivo é O gate: a meta de 48 M vale 12.7 M de resultado.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0" customWidth="1" min="3" max="3"/>
  </cols>
  <sheetData>
    <row r="1">
      <c r="A1" s="1" t="inlineStr">
        <is>
          <t>COTAÇÕES DO ROBÔ (VTEX Telhanorte/Obramax/Chatuba + Intelbras fábrica) — mediana viva</t>
        </is>
      </c>
    </row>
    <row r="2">
      <c r="A2" s="2" t="inlineStr">
        <is>
          <t>Atualiza toda segunda em https://altezza.lsc-lab.com/data/cotacoes.json (altezza-cotacoes.timer no Claw). Valores abaixo: rodada 01/09/2026.</t>
        </is>
      </c>
    </row>
    <row r="4">
      <c r="A4" s="3" t="inlineStr">
        <is>
          <t>Item</t>
        </is>
      </c>
      <c r="B4" s="3" t="inlineStr">
        <is>
          <t>Mediana (R$)</t>
        </is>
      </c>
      <c r="C4" s="3" t="inlineStr">
        <is>
          <t>Uso no orçamento</t>
        </is>
      </c>
    </row>
    <row r="5">
      <c r="A5" t="inlineStr">
        <is>
          <t>Porcelanato 90×90 acetinado retificado (m²)</t>
        </is>
      </c>
      <c r="B5" s="53" t="n">
        <v>89.98999999999999</v>
      </c>
      <c r="C5" t="inlineStr">
        <is>
          <t>piso privativo core (+ assentamento 115)</t>
        </is>
      </c>
    </row>
    <row r="6">
      <c r="A6" t="inlineStr">
        <is>
          <t>Porcelanato 120×120 (m²)</t>
        </is>
      </c>
      <c r="B6" s="53" t="n">
        <v>189.4</v>
      </c>
      <c r="C6" t="inlineStr">
        <is>
          <t>piso privativo Sky (+ assentamento 130)</t>
        </is>
      </c>
    </row>
    <row r="7">
      <c r="A7" t="inlineStr">
        <is>
          <t>Porcelanato externo antiderrapante (m²)</t>
        </is>
      </c>
      <c r="B7" s="53" t="n">
        <v>122.94</v>
      </c>
      <c r="C7" t="inlineStr">
        <is>
          <t>jardim suspenso, rooftop</t>
        </is>
      </c>
    </row>
    <row r="8">
      <c r="A8" t="inlineStr">
        <is>
          <t>Bacia caixa acoplada Deca (un)</t>
        </is>
      </c>
      <c r="B8" s="53" t="n">
        <v>1028.9</v>
      </c>
      <c r="C8" t="inlineStr">
        <is>
          <t>louças — Quadra R$ 629,90 / Ravena R$ 689,90 cravadas</t>
        </is>
      </c>
    </row>
    <row r="9">
      <c r="A9" t="inlineStr">
        <is>
          <t>Monocomando linha alta Deca/Docol (un)</t>
        </is>
      </c>
      <c r="B9" s="53" t="n">
        <v>1694.99</v>
      </c>
      <c r="C9" t="inlineStr">
        <is>
          <t>metais</t>
        </is>
      </c>
    </row>
    <row r="10">
      <c r="A10" t="inlineStr">
        <is>
          <t>Fechadura digital de embutir Intelbras (un)</t>
        </is>
      </c>
      <c r="B10" s="53" t="n">
        <v>885.5</v>
      </c>
      <c r="C10" t="inlineStr">
        <is>
          <t>98 unidades</t>
        </is>
      </c>
    </row>
    <row r="11">
      <c r="A11" t="inlineStr">
        <is>
          <t>Interruptor inteligente touch Intelbras (un)</t>
        </is>
      </c>
      <c r="B11" s="53" t="n">
        <v>138.4</v>
      </c>
      <c r="C11" t="inlineStr">
        <is>
          <t>12 pontos + hub por unidade (decisão de produto)</t>
        </is>
      </c>
    </row>
    <row r="12">
      <c r="A12" t="inlineStr">
        <is>
          <t>Wallbox EV 7,4 kW Intelbras (un)</t>
        </is>
      </c>
      <c r="B12" s="53" t="n">
        <v>3475.8</v>
      </c>
      <c r="C12" t="inlineStr">
        <is>
          <t>32 vagas EV-ready ≈ R$ 111 mil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cols>
    <col width="44" customWidth="1" min="1" max="1"/>
    <col width="56" customWidth="1" min="2" max="2"/>
    <col width="52" customWidth="1" min="3" max="3"/>
    <col width="52" customWidth="1" min="4" max="4"/>
  </cols>
  <sheetData>
    <row r="1">
      <c r="A1" s="1" t="inlineStr">
        <is>
          <t>CONFRONTO — Estudo de Viabilidade REV00 (Wesley, 08/09/2026) × modelo LSC-Lab</t>
        </is>
      </c>
    </row>
    <row r="2">
      <c r="A2" s="2" t="inlineStr">
        <is>
          <t>Coluna B = Desk Board REV00 transcrito (o --autoteste reproduz o lucro dele em ±0,5 %). Coluna C = o nosso antes do confronto. Coluna D = decisão. Regra: o que é premissa da incorporadora, documentada, entra; o que é decisão de produto nossa ou custo do dinheiro medido, fica.</t>
        </is>
      </c>
    </row>
    <row r="4">
      <c r="A4" s="3" t="inlineStr">
        <is>
          <t>Item</t>
        </is>
      </c>
      <c r="B4" s="3" t="inlineStr">
        <is>
          <t>REV00 (Wesley)</t>
        </is>
      </c>
      <c r="C4" s="3" t="inlineStr">
        <is>
          <t>Nosso (antes)</t>
        </is>
      </c>
      <c r="D4" s="3" t="inlineStr">
        <is>
          <t>Decisão / base novo</t>
        </is>
      </c>
    </row>
    <row r="5">
      <c r="A5" s="12" t="inlineStr">
        <is>
          <t>unidades × m² privativo</t>
        </is>
      </c>
      <c r="B5" s="12" t="inlineStr">
        <is>
          <t>108 × 100 m² (80–120)</t>
        </is>
      </c>
      <c r="C5" s="12" t="inlineStr">
        <is>
          <t>84 × 108 + 14 × 160</t>
        </is>
      </c>
      <c r="D5" s="12" t="inlineStr">
        <is>
          <t>mantido o nosso (produto da rodada 9)</t>
        </is>
      </c>
    </row>
    <row r="6">
      <c r="A6" s="12" t="inlineStr">
        <is>
          <t>preço médio R$/m²</t>
        </is>
      </c>
      <c r="B6" s="12" t="inlineStr">
        <is>
          <t>10,200</t>
        </is>
      </c>
      <c r="C6" s="12" t="inlineStr">
        <is>
          <t>10,495 (core 10.000 · Sky 12.500)</t>
        </is>
      </c>
      <c r="D6" s="12" t="inlineStr">
        <is>
          <t>mantido; mercado padrão médio 1T26 = 9.813 (Sinduscon)</t>
        </is>
      </c>
    </row>
    <row r="7">
      <c r="A7" s="12" t="inlineStr">
        <is>
          <t>VGV bruto</t>
        </is>
      </c>
      <c r="B7" s="12" t="inlineStr">
        <is>
          <t>110.3 M</t>
        </is>
      </c>
      <c r="C7" s="12" t="inlineStr">
        <is>
          <t>118.7 M</t>
        </is>
      </c>
      <c r="D7" s="12" t="inlineStr">
        <is>
          <t>—</t>
        </is>
      </c>
    </row>
    <row r="8">
      <c r="A8" s="12" t="inlineStr">
        <is>
          <t>permuta (% da receita)</t>
        </is>
      </c>
      <c r="B8" s="12" t="inlineStr">
        <is>
          <t>11 %</t>
        </is>
      </c>
      <c r="C8" s="12" t="inlineStr">
        <is>
          <t>12 %</t>
        </is>
      </c>
      <c r="D8" s="48" t="inlineStr">
        <is>
          <t>ADOTADO 11 %</t>
        </is>
      </c>
    </row>
    <row r="9">
      <c r="A9" s="12" t="inlineStr">
        <is>
          <t>custo de obra (CD+CI+adm)</t>
        </is>
      </c>
      <c r="B9" s="12" t="inlineStr">
        <is>
          <t>58.96 M (2.500/m² × 17.727 m² + CI 285 k/mês × 36 + 8 %)</t>
        </is>
      </c>
      <c r="C9" s="12" t="inlineStr">
        <is>
          <t>48.0 M (teto por ambiente; CUB completo ≈ 61 M)</t>
        </is>
      </c>
      <c r="D9" s="48" t="inlineStr">
        <is>
          <t>ADOTADO 58,96 M como base; 48 M vira meta</t>
        </is>
      </c>
    </row>
    <row r="10">
      <c r="A10" s="12" t="inlineStr">
        <is>
          <t>prazo de obra + recebimento</t>
        </is>
      </c>
      <c r="B10" s="12" t="inlineStr">
        <is>
          <t>36 + 20 meses</t>
        </is>
      </c>
      <c r="C10" s="12" t="inlineStr">
        <is>
          <t>30 + 12 meses</t>
        </is>
      </c>
      <c r="D10" s="48" t="inlineStr">
        <is>
          <t>ADOTADO 36 + 20</t>
        </is>
      </c>
    </row>
    <row r="11">
      <c r="A11" s="12" t="inlineStr">
        <is>
          <t>projetos / aprovações / condicionantes / TAO</t>
        </is>
      </c>
      <c r="B11" s="12" t="inlineStr">
        <is>
          <t>1.09 / 1.27 / 0.55 / 0.12 M</t>
        </is>
      </c>
      <c r="C11" s="12" t="inlineStr">
        <is>
          <t>dentro de OUT 5 % do VGV (5,9 M)</t>
        </is>
      </c>
      <c r="D11" s="48" t="inlineStr">
        <is>
          <t>ADOTADO explícito</t>
        </is>
      </c>
    </row>
    <row r="12">
      <c r="A12" s="12" t="inlineStr">
        <is>
          <t>contingência / pós-obra</t>
        </is>
      </c>
      <c r="B12" s="12" t="inlineStr">
        <is>
          <t>0.82 / 0.55 M (1,5 % / 1 % s/ CD+CI)</t>
        </is>
      </c>
      <c r="C12" s="12" t="inlineStr">
        <is>
          <t>dentro de OUT</t>
        </is>
      </c>
      <c r="D12" s="48" t="inlineStr">
        <is>
          <t>ADOTADO explícito</t>
        </is>
      </c>
    </row>
    <row r="13">
      <c r="A13" s="12" t="inlineStr">
        <is>
          <t>comissão / marketing</t>
        </is>
      </c>
      <c r="B13" s="12" t="inlineStr">
        <is>
          <t>5 % / 3 % do VGV</t>
        </is>
      </c>
      <c r="C13" s="12" t="inlineStr">
        <is>
          <t>4 % / 3 %</t>
        </is>
      </c>
      <c r="D13" s="48" t="inlineStr">
        <is>
          <t>ADOTADO 5 %</t>
        </is>
      </c>
    </row>
    <row r="14">
      <c r="A14" s="12" t="inlineStr">
        <is>
          <t>adm. carteira / seguros</t>
        </is>
      </c>
      <c r="B14" s="12" t="inlineStr">
        <is>
          <t>2.21 M (2 % VGV, 60 meses) / 0.30 M (0,5 %)</t>
        </is>
      </c>
      <c r="C14" s="12" t="inlineStr">
        <is>
          <t>SG&amp;A 4 % do VGV</t>
        </is>
      </c>
      <c r="D14" s="48" t="inlineStr">
        <is>
          <t>ADOTADO explícito</t>
        </is>
      </c>
    </row>
    <row r="15">
      <c r="A15" s="12" t="inlineStr">
        <is>
          <t>impostos (RET)</t>
        </is>
      </c>
      <c r="B15" s="12" t="inlineStr">
        <is>
          <t>4 % (efetivo 4,17 % do VGV bruto)</t>
        </is>
      </c>
      <c r="C15" s="12" t="inlineStr">
        <is>
          <t>4 % da receita</t>
        </is>
      </c>
      <c r="D15" s="12" t="inlineStr">
        <is>
          <t>igual</t>
        </is>
      </c>
    </row>
    <row r="16">
      <c r="A16" s="12" t="inlineStr">
        <is>
          <t>custo financeiro</t>
        </is>
      </c>
      <c r="B16" s="12" t="inlineStr">
        <is>
          <t>3.98 M = 16 % a.a. × 40 % da obra</t>
        </is>
      </c>
      <c r="C16" s="12" t="inlineStr">
        <is>
          <t>juros mensais no saldo do plano empresário a CDI+3 (16.9 %)</t>
        </is>
      </c>
      <c r="D16" s="12" t="inlineStr">
        <is>
          <t>mantido o nosso (dinâmico)</t>
        </is>
      </c>
    </row>
    <row r="17">
      <c r="A17" s="12" t="inlineStr">
        <is>
          <t>TMA / taxa de desconto</t>
        </is>
      </c>
      <c r="B17" s="12" t="inlineStr">
        <is>
          <t>5 % a.a. (VPL 11,3 M · MIRR 10 %)</t>
        </is>
      </c>
      <c r="C17" s="12" t="inlineStr">
        <is>
          <t>TIR contra CDI 13.90 %</t>
        </is>
      </c>
      <c r="D17" s="12" t="inlineStr">
        <is>
          <t>mantido: 5 % a.a. está abaixo do CDI</t>
        </is>
      </c>
    </row>
    <row r="18">
      <c r="A18" s="12" t="inlineStr">
        <is>
          <t>RESULTADO</t>
        </is>
      </c>
      <c r="B18" s="12" t="inlineStr">
        <is>
          <t>14.9 M · 15.2 % da receita líquida</t>
        </is>
      </c>
      <c r="C18" s="12" t="inlineStr">
        <is>
          <t>34.4 M · 28.9 % do VGV (pilha E, obra 48 M)</t>
        </is>
      </c>
      <c r="D18" s="54" t="inlineStr">
        <is>
          <t>NOVO BASE: 24.3 M · 20.4 % · TIR 39 % · expo 16.3 M</t>
        </is>
      </c>
    </row>
    <row r="21">
      <c r="A21" s="4" t="inlineStr">
        <is>
          <t>DRE DO REV00 — transcrição do Desk Board (R$)</t>
        </is>
      </c>
    </row>
    <row r="22">
      <c r="A22" s="3" t="inlineStr">
        <is>
          <t>Linha</t>
        </is>
      </c>
      <c r="B22" s="3" t="inlineStr">
        <is>
          <t>R$</t>
        </is>
      </c>
      <c r="C22" s="3" t="inlineStr">
        <is>
          <t>Como o REV00 calcula</t>
        </is>
      </c>
      <c r="D22" s="3" t="inlineStr">
        <is>
          <t>Onde entra no nosso motor</t>
        </is>
      </c>
    </row>
    <row r="23">
      <c r="A23" s="14" t="inlineStr">
        <is>
          <t>VGV bruto</t>
        </is>
      </c>
      <c r="B23" s="18" t="n">
        <v>110296272</v>
      </c>
      <c r="C23" s="12" t="inlineStr">
        <is>
          <t>108 un. × 100,12 m² × R$ 10.200/m²</t>
        </is>
      </c>
      <c r="D23" s="12" t="inlineStr">
        <is>
          <t>vgv (mantido o nosso: 118,7 M)</t>
        </is>
      </c>
    </row>
    <row r="24">
      <c r="A24" s="14" t="inlineStr">
        <is>
          <t>(−) permuta 11 %</t>
        </is>
      </c>
      <c r="B24" s="18" t="n">
        <v>-12132589.92</v>
      </c>
      <c r="C24" s="12" t="inlineStr">
        <is>
          <t>11 % da receita, paga em unidades</t>
        </is>
      </c>
      <c r="D24" s="12" t="inlineStr">
        <is>
          <t>permuta = 0,11</t>
        </is>
      </c>
    </row>
    <row r="25">
      <c r="A25" s="4" t="inlineStr">
        <is>
          <t>Receita líquida</t>
        </is>
      </c>
      <c r="B25" s="18" t="n">
        <v>98163682.08</v>
      </c>
      <c r="C25" s="12" t="inlineStr"/>
      <c r="D25" s="12" t="inlineStr"/>
    </row>
    <row r="26">
      <c r="A26" s="14" t="inlineStr">
        <is>
          <t>(−) custo direto CD</t>
        </is>
      </c>
      <c r="B26" s="18" t="n">
        <v>-44317050</v>
      </c>
      <c r="C26" s="12" t="inlineStr">
        <is>
          <t>R$ 2.500/m² × 17.726,82 m²</t>
        </is>
      </c>
      <c r="D26" s="12" t="inlineStr">
        <is>
          <t>obra</t>
        </is>
      </c>
    </row>
    <row r="27">
      <c r="A27" s="14" t="inlineStr">
        <is>
          <t>(−) custo indireto CI</t>
        </is>
      </c>
      <c r="B27" s="18" t="n">
        <v>-10279054.67322974</v>
      </c>
      <c r="C27" s="12" t="inlineStr">
        <is>
          <t>R$ 285.529/mês × 36 meses</t>
        </is>
      </c>
      <c r="D27" s="12" t="inlineStr">
        <is>
          <t>obra</t>
        </is>
      </c>
    </row>
    <row r="28">
      <c r="A28" s="14" t="inlineStr">
        <is>
          <t>(−) administração da obra 8 %</t>
        </is>
      </c>
      <c r="B28" s="18" t="n">
        <v>-4367688.37385838</v>
      </c>
      <c r="C28" s="12" t="inlineStr">
        <is>
          <t>8 % s/ CD+CI</t>
        </is>
      </c>
      <c r="D28" s="12" t="inlineStr">
        <is>
          <t>obra (58,96 M no total)</t>
        </is>
      </c>
    </row>
    <row r="29">
      <c r="A29" s="14" t="inlineStr">
        <is>
          <t>(−) projetos 2 %</t>
        </is>
      </c>
      <c r="B29" s="18" t="n">
        <v>-1091922.093464595</v>
      </c>
      <c r="C29" s="12" t="inlineStr">
        <is>
          <t>2 % s/ CD+CI</t>
        </is>
      </c>
      <c r="D29" s="12" t="inlineStr">
        <is>
          <t>out</t>
        </is>
      </c>
    </row>
    <row r="30">
      <c r="A30" s="14" t="inlineStr">
        <is>
          <t>(−) aprovações 1,15 % VGV</t>
        </is>
      </c>
      <c r="B30" s="18" t="n">
        <v>-1268407.128</v>
      </c>
      <c r="C30" s="12" t="inlineStr"/>
      <c r="D30" s="12" t="inlineStr">
        <is>
          <t>out</t>
        </is>
      </c>
    </row>
    <row r="31">
      <c r="A31" s="14" t="inlineStr">
        <is>
          <t>(−) condicionantes 0,5 % VGV</t>
        </is>
      </c>
      <c r="B31" s="18" t="n">
        <v>-551481.36</v>
      </c>
      <c r="C31" s="12" t="inlineStr"/>
      <c r="D31" s="12" t="inlineStr">
        <is>
          <t>out</t>
        </is>
      </c>
    </row>
    <row r="32">
      <c r="A32" s="14" t="inlineStr">
        <is>
          <t>(−) TAO 4 k/mês × 30</t>
        </is>
      </c>
      <c r="B32" s="18" t="n">
        <v>-120000</v>
      </c>
      <c r="C32" s="12" t="inlineStr"/>
      <c r="D32" s="12" t="inlineStr">
        <is>
          <t>out</t>
        </is>
      </c>
    </row>
    <row r="33">
      <c r="A33" s="14" t="inlineStr">
        <is>
          <t>(−) contingência 1,5 %</t>
        </is>
      </c>
      <c r="B33" s="18" t="n">
        <v>-818941.5700984462</v>
      </c>
      <c r="C33" s="12" t="inlineStr">
        <is>
          <t>1,5 % s/ CD+CI</t>
        </is>
      </c>
      <c r="D33" s="12" t="inlineStr">
        <is>
          <t>out</t>
        </is>
      </c>
    </row>
    <row r="34">
      <c r="A34" s="14" t="inlineStr">
        <is>
          <t>(−) pós-obra 1 %</t>
        </is>
      </c>
      <c r="B34" s="18" t="n">
        <v>-545961.0467322975</v>
      </c>
      <c r="C34" s="12" t="inlineStr">
        <is>
          <t>1 % s/ CD+CI</t>
        </is>
      </c>
      <c r="D34" s="12" t="inlineStr">
        <is>
          <t>out</t>
        </is>
      </c>
    </row>
    <row r="35">
      <c r="A35" s="14" t="inlineStr">
        <is>
          <t>(−) marketing 3 % VGV</t>
        </is>
      </c>
      <c r="B35" s="18" t="n">
        <v>-3308888.16</v>
      </c>
      <c r="C35" s="12" t="inlineStr"/>
      <c r="D35" s="12" t="inlineStr">
        <is>
          <t>mkt</t>
        </is>
      </c>
    </row>
    <row r="36">
      <c r="A36" s="14" t="inlineStr">
        <is>
          <t>(−) comissões 5 % VGV</t>
        </is>
      </c>
      <c r="B36" s="18" t="n">
        <v>-5514813.600000001</v>
      </c>
      <c r="C36" s="12" t="inlineStr"/>
      <c r="D36" s="12" t="inlineStr">
        <is>
          <t>corr (era 4 %)</t>
        </is>
      </c>
    </row>
    <row r="37">
      <c r="A37" s="14" t="inlineStr">
        <is>
          <t>(−) adm. de carteira</t>
        </is>
      </c>
      <c r="B37" s="18" t="n">
        <v>-2205925.44</v>
      </c>
      <c r="C37" s="12" t="inlineStr">
        <is>
          <t>2 % do VGV ao longo de 60 meses</t>
        </is>
      </c>
      <c r="D37" s="12" t="inlineStr">
        <is>
          <t>sga</t>
        </is>
      </c>
    </row>
    <row r="38">
      <c r="A38" s="14" t="inlineStr">
        <is>
          <t>(−) seguros 0,5 %</t>
        </is>
      </c>
      <c r="B38" s="18" t="n">
        <v>-300278.5757027636</v>
      </c>
      <c r="C38" s="12" t="inlineStr">
        <is>
          <t>0,5 % s/ CD+CI+adm+projetos</t>
        </is>
      </c>
      <c r="D38" s="12" t="inlineStr">
        <is>
          <t>sga</t>
        </is>
      </c>
    </row>
    <row r="39">
      <c r="A39" s="14" t="inlineStr">
        <is>
          <t>(−) custo financeiro</t>
        </is>
      </c>
      <c r="B39" s="18" t="n">
        <v>-3979256.40307891</v>
      </c>
      <c r="C39" s="12" t="inlineStr">
        <is>
          <t>declarado: 16 % a.a. × 40 % da obra (dá 3,84 M); o Desk Board traz 3,98 M — transcrito</t>
        </is>
      </c>
      <c r="D39" s="12" t="inlineStr">
        <is>
          <t>juros mensais no saldo do plano empresário (pilha E-R: 9,3 M em 36 m)</t>
        </is>
      </c>
    </row>
    <row r="40">
      <c r="A40" s="4" t="inlineStr">
        <is>
          <t>EBITDA</t>
        </is>
      </c>
      <c r="B40" s="18" t="n">
        <v>19494013.65583486</v>
      </c>
      <c r="C40" s="12" t="inlineStr"/>
      <c r="D40" s="12" t="inlineStr"/>
    </row>
    <row r="41">
      <c r="A41" s="14" t="inlineStr">
        <is>
          <t>(−) impostos RET 4 %</t>
        </is>
      </c>
      <c r="B41" s="18" t="n">
        <v>-4595678</v>
      </c>
      <c r="C41" s="12" t="inlineStr">
        <is>
          <t>4 % (efetivo 4,17 % do VGV bruto — transcrito)</t>
        </is>
      </c>
      <c r="D41" s="12" t="inlineStr">
        <is>
          <t>ret = 0,04 s/ recebido</t>
        </is>
      </c>
    </row>
    <row r="42">
      <c r="A42" s="4" t="inlineStr">
        <is>
          <t>LUCRO LÍQUIDO</t>
        </is>
      </c>
      <c r="B42" s="18" t="n">
        <v>14898335.65583486</v>
      </c>
      <c r="C42" s="12" t="inlineStr">
        <is>
          <t>15.18 % da receita líquida · MIRR 10.0 % a.a. · VPL@5 % 11.3 M · payback 41,5 m · break-even 88,5 un.</t>
        </is>
      </c>
      <c r="D42" s="12" t="inlineStr">
        <is>
          <t>pilha W reproduz no nosso motor: ver aba Financiamento</t>
        </is>
      </c>
    </row>
    <row r="44">
      <c r="A44" s="2" t="inlineStr">
        <is>
          <t>O que o REV00 tem e o nosso não tinha: custo de obra decomposto (CD/CI/adm), 36 meses de obra, 20 de recebimento, curva S de 8 etapas, vendas com 30 unidades no mês 1 e 83,7 % até o mês 36, régua Sinduscon 1T2026 (VSO 69,8 %, R$ 9.813/m², ticket 954 k). Tudo isso entrou.</t>
        </is>
      </c>
    </row>
    <row r="45">
      <c r="A45" s="2" t="inlineStr">
        <is>
          <t>O que o nosso tem e o REV00 não: fluxo mensal com financiamento à produção (juros no saldo), tabela progressiva, pilhas alternativas, sensibilidade 1-D e grade 2-D, funding, repasse do comprador. O REV00 desconta a 5 % a.a. (abaixo do CDI); nós reportamos TIR contra o CDI.</t>
        </is>
      </c>
    </row>
    <row r="46">
      <c r="A46" s="2" t="inlineStr">
        <is>
          <t>CONSEQUÊNCIA: com o custo do REV00 o nosso produto rende 24.3 M (20.4 %, TIR 39 % a.a., exposição 16.3 M) — em cima do piso de 20 %. Com a obra na meta de 48 M: 36.9 M (31.1 %). O orçamento executivo decide entre os dois; antes dele, o preço de lançamento se decide com a pilha E-R, não com a E-R48.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6" customWidth="1" min="1" max="1"/>
    <col width="30" customWidth="1" min="2" max="2"/>
    <col width="90" customWidth="1" min="3" max="3"/>
  </cols>
  <sheetData>
    <row r="1">
      <c r="A1" s="1" t="inlineStr">
        <is>
          <t>FONTES — todas datadas (número em documento apodrece sozinho)</t>
        </is>
      </c>
    </row>
    <row r="3">
      <c r="A3" s="3" t="inlineStr">
        <is>
          <t>Fato</t>
        </is>
      </c>
      <c r="B3" s="3" t="inlineStr">
        <is>
          <t>Valor · data</t>
        </is>
      </c>
      <c r="C3" s="3" t="inlineStr">
        <is>
          <t>Onde</t>
        </is>
      </c>
    </row>
    <row r="4">
      <c r="A4" s="12" t="inlineStr">
        <is>
          <t>CUB R-16 alto MG</t>
        </is>
      </c>
      <c r="B4" s="12" t="inlineStr">
        <is>
          <t>R$ 3.223,52/m² · agosto/2026 (emitido 03/09/2026)</t>
        </is>
      </c>
      <c r="C4" s="12" t="inlineStr">
        <is>
          <t>https://sinduscon-mg.org.br/wp-content/uploads/2026/09/tabela_cub_agosto_2026.pdf</t>
        </is>
      </c>
    </row>
    <row r="5">
      <c r="A5" s="12" t="inlineStr">
        <is>
          <t>CDI / Selic</t>
        </is>
      </c>
      <c r="B5" s="12" t="inlineStr">
        <is>
          <t>13,90 % · 14,00 % a.a. · 04/09/2026</t>
        </is>
      </c>
      <c r="C5" s="12" t="inlineStr">
        <is>
          <t>https://investidor10.com.br/indices/cdi/ · https://credited.com.br/noticias/2026/08/15/copom-mantem-selic-14-por-cento-agosto-2026-impacto/</t>
        </is>
      </c>
    </row>
    <row r="6">
      <c r="A6" s="12" t="inlineStr">
        <is>
          <t>INCC-M 12 meses</t>
        </is>
      </c>
      <c r="B6" s="12" t="inlineStr">
        <is>
          <t>6,56 % · agosto/2026</t>
        </is>
      </c>
      <c r="C6" s="12" t="inlineStr">
        <is>
          <t>https://portal.fgv.br/noticias/incc-m-agosto-2026</t>
        </is>
      </c>
    </row>
    <row r="7">
      <c r="A7" s="12" t="inlineStr">
        <is>
          <t>Teto SFH 2026</t>
        </is>
      </c>
      <c r="B7" s="12" t="inlineStr">
        <is>
          <t>R$ 2,25 M · LTV 80 % · FGTS</t>
        </is>
      </c>
      <c r="C7" s="12" t="inlineStr">
        <is>
          <t>https://larya.com.br/blog/o-que-e-sfh/ · https://www.vitaleinvestimentos.com.br/blog/sfh-e-sfi-2026-novo-teto-alto-padrao</t>
        </is>
      </c>
    </row>
    <row r="8">
      <c r="A8" s="12" t="inlineStr">
        <is>
          <t>Taxa SBPE Caixa</t>
        </is>
      </c>
      <c r="B8" s="12" t="inlineStr">
        <is>
          <t>a partir de 11,19 % a.a. + TR · 2026</t>
        </is>
      </c>
      <c r="C8" s="12" t="inlineStr">
        <is>
          <t>https://www.spimovel.com.br/blog/qual-a-taxa-de-juros-para-financiamento-imobiliario-da-caixa-em-2026/2877/</t>
        </is>
      </c>
    </row>
    <row r="9">
      <c r="A9" s="12" t="inlineStr">
        <is>
          <t>Plano Empresário Caixa</t>
        </is>
      </c>
      <c r="B9" s="12" t="inlineStr">
        <is>
          <t>até 85 % da obra · 36 m + 9 carência · TR/CDI</t>
        </is>
      </c>
      <c r="C9" s="12" t="inlineStr">
        <is>
          <t>https://www.caixa.gov.br/empresa/construcao-civil/plano-empresario-caixa/Paginas/default.aspx · https://medium.com/@euricopaes/apoio-à-produção-vs-plano-empresário-entendendo-as-modalidades-de-financiamento-da-caixa-b76e5895c123</t>
        </is>
      </c>
    </row>
    <row r="10">
      <c r="A10" s="12" t="inlineStr">
        <is>
          <t>Bradesco Plano Empresário</t>
        </is>
      </c>
      <c r="B10" s="12" t="inlineStr">
        <is>
          <t>até 70 % do custo (exceto mão de obra)</t>
        </is>
      </c>
      <c r="C10" s="12" t="inlineStr">
        <is>
          <t>https://sienge.com.br/credito-para-construtoras-e-incorporadoras/</t>
        </is>
      </c>
    </row>
    <row r="11">
      <c r="A11" s="12" t="inlineStr">
        <is>
          <t>CRI — viabilidade mínima</t>
        </is>
      </c>
      <c r="B11" s="12" t="inlineStr">
        <is>
          <t>≥ R$ 50 M; R$ 1–3 M fixos; ~CDI+1,75 %</t>
        </is>
      </c>
      <c r="C11" s="12" t="inlineStr">
        <is>
          <t>https://antecipafacil.com.br/artigo/cra-cri-2026-securitizacao-recebiveis-investidor-guia · https://lageportilhojardim.com.br/blog/cri-para-pequenas-incorporadoras-como-funciona-a-securitizacao-de-recebiveis/</t>
        </is>
      </c>
    </row>
    <row r="12">
      <c r="A12" s="12" t="inlineStr">
        <is>
          <t>Crowdfunding CVM 88</t>
        </is>
      </c>
      <c r="B12" s="12" t="inlineStr">
        <is>
          <t>≤ R$ 15 M/oferta · 180 dias · 15–20 % a.a.</t>
        </is>
      </c>
      <c r="C12" s="12" t="inlineStr">
        <is>
          <t>https://conteudo.cvm.gov.br/export/sites/cvm/legislacao/resolucoes/anexos/001/resol088consolid.pdf · https://blog.inco.vc/crowdfunding/regulamentacao-crowdfunding-brasil-2026/</t>
        </is>
      </c>
    </row>
    <row r="13">
      <c r="A13" s="12" t="inlineStr">
        <is>
          <t>Permuta de terreno (mercado)</t>
        </is>
      </c>
      <c r="B13" s="12" t="inlineStr">
        <is>
          <t>15–20 % do VGV · 18–22 % das unidades</t>
        </is>
      </c>
      <c r="C13" s="12" t="inlineStr">
        <is>
          <t>specs/base-conhecimento-aprofundamento-altezza.md §6 (TBO, Rexperts, FGV, UFMG)</t>
        </is>
      </c>
    </row>
    <row r="14">
      <c r="A14" s="12" t="inlineStr">
        <is>
          <t>Preço de venda</t>
        </is>
      </c>
      <c r="B14" s="12" t="inlineStr">
        <is>
          <t>core R$ 10.000/m² · Sky R$ 12.500/m² · VGV 118,7 M</t>
        </is>
      </c>
      <c r="C14" s="12" t="inlineStr">
        <is>
          <t>specs/base-conhecimento-altezza-preco-venda.md §4</t>
        </is>
      </c>
    </row>
    <row r="15">
      <c r="A15" s="12" t="inlineStr">
        <is>
          <t>VSO Uberlândia</t>
        </is>
      </c>
      <c r="B15" s="12" t="inlineStr">
        <is>
          <t>72–76 % em 12 m (alto padrão)</t>
        </is>
      </c>
      <c r="C15" s="12" t="inlineStr">
        <is>
          <t>specs/base-conhecimento-altezza-demanda-velocidade.md §1</t>
        </is>
      </c>
    </row>
    <row r="16">
      <c r="A16" s="12" t="inlineStr">
        <is>
          <t>Cronograma físico</t>
        </is>
      </c>
      <c r="B16" s="12" t="inlineStr">
        <is>
          <t>28–30 meses · fundações 2–3 · estrutura 6–7 · acabamentos 6–8</t>
        </is>
      </c>
      <c r="C16" s="12" t="inlineStr">
        <is>
          <t>specs/base-conhecimento-engenharia-civil-altezza.md §6</t>
        </is>
      </c>
    </row>
    <row r="17">
      <c r="A17" s="12" t="inlineStr">
        <is>
          <t>O que o CUB exclui</t>
        </is>
      </c>
      <c r="B17" s="12" t="inlineStr">
        <is>
          <t>fundações, elevadores, AC, piscina, paisagismo, projetos, impostos</t>
        </is>
      </c>
      <c r="C17" s="12" t="inlineStr">
        <is>
          <t>texto oficial da tabela Sinduscon-MG (idem linha 1) · base engª §7</t>
        </is>
      </c>
    </row>
    <row r="18">
      <c r="A18" s="12" t="inlineStr">
        <is>
          <t>Estudo de Viabilidade REV00 (Wesley)</t>
        </is>
      </c>
      <c r="B18" s="12" t="inlineStr">
        <is>
          <t>108 un. · VGV 110,3 M · obra 58,96 M · 36+20 m · lucro 14,9 M (15,2 %) · 08/09/2026</t>
        </is>
      </c>
      <c r="C18" s="12" t="inlineStr">
        <is>
          <t>specs/altezza-caderno/fontes/Estudos_Viabilidade_Edificio_Altezza_REV00_Wesley.pdf · Desk_Board_Altezza_Residence_REV00_Wesley.xlsx (aba Confronto REV00)</t>
        </is>
      </c>
    </row>
    <row r="19">
      <c r="A19" s="12" t="inlineStr">
        <is>
          <t>Mercado Uberlândia 1T2026 (no REV00)</t>
        </is>
      </c>
      <c r="B19" s="12" t="inlineStr">
        <is>
          <t>VSO 69,8 % · padrão médio 71,9 % · R$ 9.813/m² · ticket 954 k</t>
        </is>
      </c>
      <c r="C19" s="12" t="inlineStr">
        <is>
          <t>Sinduscon-TRIÂNGULO / CBIC — Panorama do Mercado Imobiliário 1T2026, citado no PDF REV00</t>
        </is>
      </c>
    </row>
    <row r="20">
      <c r="A20" s="12" t="inlineStr">
        <is>
          <t>Orçamento por ambiente</t>
        </is>
      </c>
      <c r="B20" s="12" t="inlineStr">
        <is>
          <t>R$ 48,0 M · 21.456 m² · fator [REF] 0,637 — META desde 08/09</t>
        </is>
      </c>
      <c r="C20" s="12" t="inlineStr">
        <is>
          <t>specs/altezza-caderno/orcamento_xlsx_build.py --autoteste</t>
        </is>
      </c>
    </row>
    <row r="21">
      <c r="A21" s="12" t="inlineStr">
        <is>
          <t>Modelo-base e alavancas</t>
        </is>
      </c>
      <c r="B21" s="12" t="inlineStr">
        <is>
          <t>25,2 M · 24,0 % · 34,3 M (produto 100/150)</t>
        </is>
      </c>
      <c r="C21" s="12" t="inlineStr">
        <is>
          <t>specs/qc01-lote21-viabilidade-modelo.py · qc01-lote21-viabilidade-alavancas.py · qc01-lote21-altezza-financas-cotacoes.md</t>
        </is>
      </c>
    </row>
    <row r="22">
      <c r="A22" s="12" t="inlineStr">
        <is>
          <t>Pódio (decisão)</t>
        </is>
      </c>
      <c r="B22" s="12" t="inlineStr">
        <is>
          <t>01/09/2026 · 138 vagas · obra 28 m</t>
        </is>
      </c>
      <c r="C22" s="12" t="inlineStr">
        <is>
          <t>specs/qc01-lote21-altezza-garagem-estudo.md §6 · qc01-lote21-podio-decisao.py</t>
        </is>
      </c>
    </row>
    <row r="23">
      <c r="A23" s="12" t="inlineStr">
        <is>
          <t>RET 4 % / afetação</t>
        </is>
      </c>
      <c r="B23" s="12" t="inlineStr">
        <is>
          <t>Lei 10.931/2004 · IN RFB 1.435/2013</t>
        </is>
      </c>
      <c r="C23" s="12" t="inlineStr">
        <is>
          <t>specs/base-conhecimento-mercado-produto-altezza.md §6.1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2026-09-08T18:46:25Z</dcterms:created>
  <dcterms:modified xsi:type="dcterms:W3CDTF">2026-09-08T18:46:25Z</dcterms:modified>
</cp:coreProperties>
</file>