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Premissas" sheetId="1" state="visible" r:id="rId1"/>
    <sheet xmlns:r="http://schemas.openxmlformats.org/officeDocument/2006/relationships" name="Fluxo Mensal" sheetId="2" state="visible" r:id="rId2"/>
    <sheet xmlns:r="http://schemas.openxmlformats.org/officeDocument/2006/relationships" name="Cenários" sheetId="3" state="visible" r:id="rId3"/>
    <sheet xmlns:r="http://schemas.openxmlformats.org/officeDocument/2006/relationships" name="Sensibilidade" sheetId="4" state="visible" r:id="rId4"/>
    <sheet xmlns:r="http://schemas.openxmlformats.org/officeDocument/2006/relationships" name="Quadro de Áreas" sheetId="5" state="visible" r:id="rId5"/>
    <sheet xmlns:r="http://schemas.openxmlformats.org/officeDocument/2006/relationships" name="Garagem" sheetId="6" state="visible" r:id="rId6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&quot;R$ &quot;#,##0;&quot;(R$ &quot;#,##0\);\-"/>
    <numFmt numFmtId="165" formatCode="0.0%"/>
  </numFmts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3"/>
    </font>
    <font>
      <name val="Arial"/>
      <charset val="1"/>
      <family val="0"/>
      <i val="1"/>
      <sz val="9"/>
    </font>
    <font>
      <name val="Arial"/>
      <charset val="1"/>
      <family val="0"/>
      <b val="1"/>
      <sz val="11"/>
    </font>
    <font>
      <name val="Arial"/>
      <charset val="1"/>
      <family val="0"/>
      <sz val="11"/>
    </font>
    <font>
      <name val="Arial"/>
      <charset val="1"/>
      <family val="0"/>
      <color rgb="FF0000FF"/>
      <sz val="11"/>
    </font>
    <font>
      <name val="Arial"/>
      <charset val="1"/>
      <family val="0"/>
      <color rgb="FF666666"/>
      <sz val="9"/>
    </font>
    <font>
      <name val="Arial"/>
      <charset val="1"/>
      <family val="0"/>
      <i val="1"/>
      <color rgb="FF666666"/>
      <sz val="9"/>
    </font>
    <font>
      <name val="Arial"/>
      <charset val="1"/>
      <family val="0"/>
      <color rgb="FF008000"/>
      <sz val="11"/>
    </font>
  </fonts>
  <fills count="5">
    <fill>
      <patternFill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0E9D8"/>
      </patternFill>
    </fill>
    <fill>
      <patternFill patternType="solid">
        <fgColor rgb="FFF0E9D8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1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164" fontId="8" fillId="2" borderId="0" applyAlignment="1" pivotButton="0" quotePrefix="0" xfId="0">
      <alignment horizontal="general" vertical="bottom"/>
    </xf>
    <xf numFmtId="164" fontId="8" fillId="0" borderId="0" applyAlignment="1" pivotButton="0" quotePrefix="0" xfId="0">
      <alignment horizontal="general" vertical="bottom"/>
    </xf>
    <xf numFmtId="164" fontId="7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10" fontId="8" fillId="2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0" fontId="6" fillId="3" borderId="1" applyAlignment="1" pivotButton="0" quotePrefix="0" xfId="0">
      <alignment horizontal="general" vertical="bottom"/>
    </xf>
    <xf numFmtId="0" fontId="6" fillId="4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general" vertical="bottom"/>
    </xf>
    <xf numFmtId="10" fontId="6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0" fontId="8" fillId="4" borderId="0" applyAlignment="1" pivotButton="0" quotePrefix="0" xfId="0">
      <alignment horizontal="general" vertical="bottom"/>
    </xf>
    <xf numFmtId="164" fontId="8" fillId="4" borderId="0" applyAlignment="1" pivotButton="0" quotePrefix="0" xfId="0">
      <alignment horizontal="general" vertical="bottom"/>
    </xf>
    <xf numFmtId="164" fontId="0" fillId="4" borderId="0" applyAlignment="1" pivotButton="0" quotePrefix="0" xfId="0">
      <alignment horizontal="general" vertical="bottom"/>
    </xf>
    <xf numFmtId="165" fontId="0" fillId="4" borderId="0" applyAlignment="1" pivotButton="0" quotePrefix="0" xfId="0">
      <alignment horizontal="general" vertical="bottom"/>
    </xf>
    <xf numFmtId="0" fontId="6" fillId="3" borderId="0" applyAlignment="1" pivotButton="0" quotePrefix="0" xfId="0">
      <alignment horizontal="general" vertical="bottom"/>
    </xf>
    <xf numFmtId="164" fontId="8" fillId="3" borderId="0" applyAlignment="1" pivotButton="0" quotePrefix="0" xfId="0">
      <alignment horizontal="general" vertical="bottom"/>
    </xf>
    <xf numFmtId="165" fontId="0" fillId="0" borderId="1" applyAlignment="1" pivotButton="0" quotePrefix="0" xfId="0">
      <alignment horizontal="general" vertical="bottom"/>
    </xf>
    <xf numFmtId="3" fontId="7" fillId="0" borderId="0" applyAlignment="1" pivotButton="0" quotePrefix="0" xfId="0">
      <alignment horizontal="general" vertical="bottom"/>
    </xf>
    <xf numFmtId="3" fontId="8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3" fontId="6" fillId="4" borderId="0" applyAlignment="1" pivotButton="0" quotePrefix="0" xfId="0">
      <alignment horizontal="general" vertical="bottom"/>
    </xf>
    <xf numFmtId="164" fontId="11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1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164" fontId="8" fillId="2" borderId="0" applyAlignment="1" pivotButton="0" quotePrefix="0" xfId="0">
      <alignment horizontal="general" vertical="bottom"/>
    </xf>
    <xf numFmtId="164" fontId="8" fillId="0" borderId="0" applyAlignment="1" pivotButton="0" quotePrefix="0" xfId="0">
      <alignment horizontal="general" vertical="bottom"/>
    </xf>
    <xf numFmtId="164" fontId="7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10" fontId="8" fillId="2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0" fontId="6" fillId="3" borderId="1" applyAlignment="1" pivotButton="0" quotePrefix="0" xfId="0">
      <alignment horizontal="general" vertical="bottom"/>
    </xf>
    <xf numFmtId="0" fontId="6" fillId="4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general" vertical="bottom"/>
    </xf>
    <xf numFmtId="10" fontId="6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0" fontId="8" fillId="4" borderId="0" applyAlignment="1" pivotButton="0" quotePrefix="0" xfId="0">
      <alignment horizontal="general" vertical="bottom"/>
    </xf>
    <xf numFmtId="164" fontId="8" fillId="4" borderId="0" applyAlignment="1" pivotButton="0" quotePrefix="0" xfId="0">
      <alignment horizontal="general" vertical="bottom"/>
    </xf>
    <xf numFmtId="164" fontId="0" fillId="4" borderId="0" applyAlignment="1" pivotButton="0" quotePrefix="0" xfId="0">
      <alignment horizontal="general" vertical="bottom"/>
    </xf>
    <xf numFmtId="165" fontId="0" fillId="4" borderId="0" applyAlignment="1" pivotButton="0" quotePrefix="0" xfId="0">
      <alignment horizontal="general" vertical="bottom"/>
    </xf>
    <xf numFmtId="0" fontId="6" fillId="3" borderId="0" applyAlignment="1" pivotButton="0" quotePrefix="0" xfId="0">
      <alignment horizontal="general" vertical="bottom"/>
    </xf>
    <xf numFmtId="164" fontId="8" fillId="3" borderId="0" applyAlignment="1" pivotButton="0" quotePrefix="0" xfId="0">
      <alignment horizontal="general" vertical="bottom"/>
    </xf>
    <xf numFmtId="165" fontId="0" fillId="0" borderId="1" applyAlignment="1" pivotButton="0" quotePrefix="0" xfId="0">
      <alignment horizontal="general" vertical="bottom"/>
    </xf>
    <xf numFmtId="3" fontId="7" fillId="0" borderId="0" applyAlignment="1" pivotButton="0" quotePrefix="0" xfId="0">
      <alignment horizontal="general" vertical="bottom"/>
    </xf>
    <xf numFmtId="3" fontId="8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3" fontId="6" fillId="4" borderId="0" applyAlignment="1" pivotButton="0" quotePrefix="0" xfId="0">
      <alignment horizontal="general" vertical="bottom"/>
    </xf>
    <xf numFmtId="164" fontId="11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0E9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40" customWidth="1" style="35" min="1" max="1"/>
    <col width="16" customWidth="1" style="35" min="2" max="2"/>
    <col width="2" customWidth="1" style="35" min="3" max="3"/>
    <col width="14" customWidth="1" style="35" min="4" max="4"/>
    <col width="46" customWidth="1" style="35" min="5" max="5"/>
  </cols>
  <sheetData>
    <row r="1" ht="16.15" customHeight="1" s="36">
      <c r="A1" s="37" t="inlineStr">
        <is>
          <t>TORRE ALTEZZA · PREMISSAS DO MODELO</t>
        </is>
      </c>
    </row>
    <row r="2" ht="15" customHeight="1" s="36">
      <c r="A2" s="38" t="inlineStr">
        <is>
          <t>Azul = edite aqui · Preto = fórmula · Fonte: specs/qc01-lote21-altezza29-projeto-viabilidade.md</t>
        </is>
      </c>
      <c r="D2" s="39" t="inlineStr">
        <is>
          <t>S-curve obra</t>
        </is>
      </c>
    </row>
    <row r="3" ht="15" customHeight="1" s="36">
      <c r="A3" s="40" t="inlineStr">
        <is>
          <t>Unidades core (108 m²)</t>
        </is>
      </c>
      <c r="B3" s="41" t="n">
        <v>84</v>
      </c>
      <c r="D3" s="42" t="n">
        <v>0.03</v>
      </c>
      <c r="E3" s="43" t="inlineStr">
        <is>
          <t>spec Altezza 29: pav. 1–21, 4/andar</t>
        </is>
      </c>
    </row>
    <row r="4" ht="15" customHeight="1" s="36">
      <c r="A4" s="40" t="inlineStr">
        <is>
          <t>Preço core (R$) — R$10.000/m²</t>
        </is>
      </c>
      <c r="B4" s="44" t="n">
        <v>1080000</v>
      </c>
      <c r="D4" s="42" t="n">
        <v>0.03</v>
      </c>
      <c r="E4" s="43" t="inlineStr">
        <is>
          <t>input Leandro: R$ 10.000/m²</t>
        </is>
      </c>
    </row>
    <row r="5" ht="15" customHeight="1" s="36">
      <c r="A5" s="40" t="inlineStr">
        <is>
          <t>Unidades Sky (160 m²)</t>
        </is>
      </c>
      <c r="B5" s="41" t="n">
        <v>14</v>
      </c>
      <c r="D5" s="42" t="n">
        <v>0.03</v>
      </c>
      <c r="E5" s="43" t="inlineStr">
        <is>
          <t>pav. 22–28, 2/andar</t>
        </is>
      </c>
    </row>
    <row r="6" ht="15" customHeight="1" s="36">
      <c r="A6" s="40" t="inlineStr">
        <is>
          <t>Preço Sky (R$) — R$12.500/m²</t>
        </is>
      </c>
      <c r="B6" s="45" t="n">
        <v>2000000</v>
      </c>
      <c r="D6" s="42" t="n">
        <v>0.03</v>
      </c>
      <c r="E6" s="43" t="inlineStr">
        <is>
          <t>faixa Leandro 1,4–1,6 M (meio)</t>
        </is>
      </c>
    </row>
    <row r="7" ht="15" customHeight="1" s="36">
      <c r="A7" s="39" t="inlineStr">
        <is>
          <t>VGV (R$)</t>
        </is>
      </c>
      <c r="B7" s="46">
        <f>B3*B4+B5*B6</f>
        <v/>
      </c>
      <c r="D7" s="42" t="n">
        <v>0.046667</v>
      </c>
      <c r="E7" s="43" t="inlineStr">
        <is>
          <t>fórmula</t>
        </is>
      </c>
    </row>
    <row r="8" ht="15" customHeight="1" s="36">
      <c r="A8" s="40" t="n"/>
      <c r="B8" s="35">
        <f>B3*108+B5*160</f>
        <v/>
      </c>
      <c r="D8" s="42" t="n">
        <v>0.046667</v>
      </c>
    </row>
    <row r="9" ht="15" customHeight="1" s="36">
      <c r="A9" s="40" t="inlineStr">
        <is>
          <t>Privativa (m²)</t>
        </is>
      </c>
      <c r="B9" s="40">
        <f>B3*100+B5*150</f>
        <v/>
      </c>
      <c r="D9" s="42" t="n">
        <v>0.046667</v>
      </c>
      <c r="E9" s="43" t="inlineStr">
        <is>
          <t>fórmula</t>
        </is>
      </c>
    </row>
    <row r="10" ht="15" customHeight="1" s="36">
      <c r="A10" s="40" t="inlineStr">
        <is>
          <t>Fator equivalente NBR 12721</t>
        </is>
      </c>
      <c r="B10" s="41" t="n">
        <v>1.39</v>
      </c>
      <c r="D10" s="42" t="n">
        <v>0.046667</v>
      </c>
      <c r="E10" s="43" t="inlineStr">
        <is>
          <t>medido no v1 (14.700/10.600); caderno completo dá 1,47</t>
        </is>
      </c>
    </row>
    <row r="11" ht="15" customHeight="1" s="36">
      <c r="A11" s="40" t="inlineStr">
        <is>
          <t>Custo de obra (R$/m² equiv)</t>
        </is>
      </c>
      <c r="B11" s="44" t="n">
        <v>3200</v>
      </c>
      <c r="D11" s="42" t="n">
        <v>0.06888900000000001</v>
      </c>
      <c r="E11" s="43" t="inlineStr">
        <is>
          <t>SINAPI-MG 07/2026 R$1.860 × 1,72 alto padrão — O GATE</t>
        </is>
      </c>
    </row>
    <row r="12" ht="15" customHeight="1" s="36">
      <c r="A12" s="39" t="inlineStr">
        <is>
          <t>Obra total (R$)</t>
        </is>
      </c>
      <c r="B12" s="46">
        <f>B9*B10*B11</f>
        <v/>
      </c>
      <c r="D12" s="42" t="n">
        <v>0.06888900000000001</v>
      </c>
      <c r="E12" s="43" t="inlineStr">
        <is>
          <t>fórmula</t>
        </is>
      </c>
    </row>
    <row r="13" ht="15" customHeight="1" s="36">
      <c r="A13" s="40" t="n"/>
      <c r="D13" s="42" t="n">
        <v>0.022222</v>
      </c>
    </row>
    <row r="14" ht="15" customHeight="1" s="36">
      <c r="A14" s="40" t="inlineStr">
        <is>
          <t>Permuta do terreno (% VGV)</t>
        </is>
      </c>
      <c r="B14" s="47" t="n">
        <v>0.12</v>
      </c>
      <c r="D14" s="42" t="n">
        <v>0.022222</v>
      </c>
      <c r="E14" s="43" t="inlineStr">
        <is>
          <t>input Leandro — paga em receita, não sai caixa</t>
        </is>
      </c>
    </row>
    <row r="15" ht="15" customHeight="1" s="36">
      <c r="A15" s="40" t="inlineStr">
        <is>
          <t>Fator receita da SPE</t>
        </is>
      </c>
      <c r="B15" s="48">
        <f>1-B14</f>
        <v/>
      </c>
      <c r="D15" s="42" t="n">
        <v>0.022222</v>
      </c>
      <c r="E15" s="43" t="inlineStr">
        <is>
          <t>fórmula (88%)</t>
        </is>
      </c>
    </row>
    <row r="16" ht="15" customHeight="1" s="36">
      <c r="A16" s="40" t="n"/>
      <c r="D16" s="42" t="n">
        <v>0.041453</v>
      </c>
    </row>
    <row r="17" ht="15" customHeight="1" s="36">
      <c r="A17" s="40" t="inlineStr">
        <is>
          <t>Vendido no lançamento</t>
        </is>
      </c>
      <c r="B17" s="47" t="n">
        <v>0.3</v>
      </c>
      <c r="D17" s="42" t="n">
        <v>0.041453</v>
      </c>
      <c r="E17" s="43" t="inlineStr">
        <is>
          <t>meta do playbook</t>
        </is>
      </c>
    </row>
    <row r="18" ht="15" customHeight="1" s="36">
      <c r="A18" s="40" t="inlineStr">
        <is>
          <t>VSO mensal (do estoque)</t>
        </is>
      </c>
      <c r="B18" s="49" t="n">
        <v>0.035</v>
      </c>
      <c r="D18" s="42" t="n">
        <v>0.041453</v>
      </c>
      <c r="E18" s="43" t="inlineStr">
        <is>
          <t>conservador vs Brain 3D 76,5%/12m</t>
        </is>
      </c>
    </row>
    <row r="19" ht="15" customHeight="1" s="36">
      <c r="A19" s="40" t="inlineStr">
        <is>
          <t>Recebido na obra</t>
        </is>
      </c>
      <c r="B19" s="47" t="n">
        <v>0.4</v>
      </c>
      <c r="D19" s="42" t="n">
        <v>0.041453</v>
      </c>
      <c r="E19" s="43" t="inlineStr">
        <is>
          <t>convenção da casa (dossiê v1)</t>
        </is>
      </c>
    </row>
    <row r="20" ht="15" customHeight="1" s="36">
      <c r="A20" s="40" t="inlineStr">
        <is>
          <t>Recebido nas chaves</t>
        </is>
      </c>
      <c r="B20" s="47" t="n">
        <v>0.6</v>
      </c>
      <c r="D20" s="42" t="n">
        <v>0.019231</v>
      </c>
      <c r="E20" s="43" t="inlineStr">
        <is>
          <t>fórmula espelho</t>
        </is>
      </c>
    </row>
    <row r="21" ht="15" customHeight="1" s="36">
      <c r="A21" s="40" t="inlineStr">
        <is>
          <t>Meses de obra</t>
        </is>
      </c>
      <c r="B21" s="41" t="n">
        <v>30</v>
      </c>
      <c r="D21" s="42" t="n">
        <v>0.019231</v>
      </c>
      <c r="E21" s="43" t="inlineStr">
        <is>
          <t>28 pav → ~30 m</t>
        </is>
      </c>
    </row>
    <row r="22" ht="15" customHeight="1" s="36">
      <c r="A22" s="40" t="inlineStr">
        <is>
          <t>Cauda pós-entrega (meses)</t>
        </is>
      </c>
      <c r="B22" s="41" t="n">
        <v>12</v>
      </c>
      <c r="D22" s="42" t="n">
        <v>0.019231</v>
      </c>
    </row>
    <row r="23" ht="15" customHeight="1" s="36">
      <c r="A23" s="40" t="n"/>
      <c r="D23" s="42" t="n">
        <v>0.019231</v>
      </c>
    </row>
    <row r="24" ht="15" customHeight="1" s="36">
      <c r="A24" s="40" t="inlineStr">
        <is>
          <t>Corretagem (s/ venda)</t>
        </is>
      </c>
      <c r="B24" s="47" t="n">
        <v>0.04</v>
      </c>
      <c r="D24" s="42" t="n">
        <v>0.019231</v>
      </c>
    </row>
    <row r="25" ht="15" customHeight="1" s="36">
      <c r="A25" s="40" t="inlineStr">
        <is>
          <t>Marketing (s/ VGV)</t>
        </is>
      </c>
      <c r="B25" s="47" t="n">
        <v>0.03</v>
      </c>
      <c r="D25" s="42" t="n">
        <v>0.035897</v>
      </c>
    </row>
    <row r="26" ht="15" customHeight="1" s="36">
      <c r="A26" s="40" t="inlineStr">
        <is>
          <t>— fração no lançamento</t>
        </is>
      </c>
      <c r="B26" s="47" t="n">
        <v>0.4</v>
      </c>
      <c r="D26" s="42" t="n">
        <v>0.035897</v>
      </c>
    </row>
    <row r="27" ht="15" customHeight="1" s="36">
      <c r="A27" s="40" t="inlineStr">
        <is>
          <t>SG&amp;A (s/ VGV)</t>
        </is>
      </c>
      <c r="B27" s="47" t="n">
        <v>0.04</v>
      </c>
      <c r="D27" s="42" t="n">
        <v>0.035897</v>
      </c>
    </row>
    <row r="28" ht="15" customHeight="1" s="36">
      <c r="A28" s="40" t="inlineStr">
        <is>
          <t>RET (s/ recebido)</t>
        </is>
      </c>
      <c r="B28" s="47" t="n">
        <v>0.04</v>
      </c>
      <c r="D28" s="42" t="n">
        <v>0.035897</v>
      </c>
      <c r="E28" s="43" t="inlineStr">
        <is>
          <t>patrimônio de afetação</t>
        </is>
      </c>
    </row>
    <row r="29" ht="15" customHeight="1" s="36">
      <c r="A29" s="40" t="inlineStr">
        <is>
          <t>Outras (s/ VGV)</t>
        </is>
      </c>
      <c r="B29" s="47" t="n">
        <v>0.05</v>
      </c>
      <c r="D29" s="42" t="n">
        <v>0.016667</v>
      </c>
      <c r="E29" s="43" t="inlineStr">
        <is>
          <t>financeiro/jurídico/diversos</t>
        </is>
      </c>
    </row>
    <row r="30" ht="15" customHeight="1" s="36">
      <c r="D30" s="42" t="n">
        <v>0.016667</v>
      </c>
    </row>
    <row r="31" ht="15" customHeight="1" s="36">
      <c r="D31" s="42" t="n">
        <v>0.025</v>
      </c>
    </row>
    <row r="32" ht="15" customHeight="1" s="36">
      <c r="D32" s="42" t="n">
        <v>0.025</v>
      </c>
    </row>
    <row r="33" ht="15" customHeight="1" s="36">
      <c r="D33" s="50">
        <f>SUM(D3:D32)</f>
        <v/>
      </c>
      <c r="E33" s="43" t="inlineStr">
        <is>
          <t>tem de ser 100% — pesos do cronograma do dossiê v1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M5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6" customWidth="1" style="35" min="1" max="1"/>
    <col width="16" customWidth="1" style="35" min="2" max="13"/>
  </cols>
  <sheetData>
    <row r="1" ht="15" customHeight="1" s="36">
      <c r="A1" s="51" t="inlineStr">
        <is>
          <t>Mês</t>
        </is>
      </c>
      <c r="B1" s="51" t="inlineStr">
        <is>
          <t>Estoque inicial (R$)</t>
        </is>
      </c>
      <c r="C1" s="51" t="inlineStr">
        <is>
          <t>Vendas (R$)</t>
        </is>
      </c>
      <c r="D1" s="51" t="inlineStr">
        <is>
          <t>Recebimentos (R$)</t>
        </is>
      </c>
      <c r="E1" s="51" t="inlineStr">
        <is>
          <t>Coorte na obra (R$/mês)</t>
        </is>
      </c>
      <c r="F1" s="51" t="inlineStr">
        <is>
          <t>Obra (R$)</t>
        </is>
      </c>
      <c r="G1" s="51" t="inlineStr">
        <is>
          <t>Corretagem</t>
        </is>
      </c>
      <c r="H1" s="51" t="inlineStr">
        <is>
          <t>Marketing</t>
        </is>
      </c>
      <c r="I1" s="51" t="inlineStr">
        <is>
          <t>SG&amp;A</t>
        </is>
      </c>
      <c r="J1" s="51" t="inlineStr">
        <is>
          <t>RET</t>
        </is>
      </c>
      <c r="K1" s="51" t="inlineStr">
        <is>
          <t>Outras</t>
        </is>
      </c>
      <c r="L1" s="51" t="inlineStr">
        <is>
          <t>Líquido (R$)</t>
        </is>
      </c>
      <c r="M1" s="51" t="inlineStr">
        <is>
          <t>Acumulado (R$)</t>
        </is>
      </c>
    </row>
    <row r="2" ht="15" customHeight="1" s="36">
      <c r="A2" s="40" t="n">
        <v>0</v>
      </c>
      <c r="B2" s="46">
        <f>Premissas!$B$7</f>
        <v/>
      </c>
      <c r="C2" s="46">
        <f>Premissas!$B$7*Premissas!$B$17</f>
        <v/>
      </c>
      <c r="D2" s="46">
        <f>IF(A2&lt;Premissas!$B$21,SUM($E$2:E2),IF(A2=Premissas!$B$21,SUM($C$2:C1)*Premissas!$B$15*Premissas!$B$20+C2*Premissas!$B$15,C2*Premissas!$B$15))</f>
        <v/>
      </c>
      <c r="E2" s="46">
        <f>IF(A2&lt;Premissas!$B$21,C2*Premissas!$B$15*Premissas!$B$19/(Premissas!$B$21-A2),0)</f>
        <v/>
      </c>
      <c r="F2" s="46">
        <f>IF(A2&lt;Premissas!$B$21,Premissas!$B$12*INDEX(Premissas!$D$3:$D$32,A2+1),0)</f>
        <v/>
      </c>
      <c r="G2" s="46">
        <f>C2*Premissas!$B$24</f>
        <v/>
      </c>
      <c r="H2" s="46">
        <f>IF(A2=0,Premissas!$B$7*Premissas!$B$25*Premissas!$B$26,IF(A2&lt;=Premissas!$B$21,Premissas!$B$7*Premissas!$B$25*(1-Premissas!$B$26)/Premissas!$B$21,0))</f>
        <v/>
      </c>
      <c r="I2" s="46">
        <f>Premissas!$B$7*Premissas!$B$27/43</f>
        <v/>
      </c>
      <c r="J2" s="46">
        <f>D2*Premissas!$B$28</f>
        <v/>
      </c>
      <c r="K2" s="46">
        <f>Premissas!$B$7*Premissas!$B$29/43</f>
        <v/>
      </c>
      <c r="L2" s="46">
        <f>D2-F2-G2-H2-I2-J2-K2</f>
        <v/>
      </c>
      <c r="M2" s="46">
        <f>L2</f>
        <v/>
      </c>
    </row>
    <row r="3" ht="15" customHeight="1" s="36">
      <c r="A3" s="40" t="n">
        <v>1</v>
      </c>
      <c r="B3" s="46">
        <f>B2-C2</f>
        <v/>
      </c>
      <c r="C3" s="46">
        <f>IF(A3&lt;=Premissas!$B$21,B3*Premissas!$B$18,B3/(43-A3))</f>
        <v/>
      </c>
      <c r="D3" s="46">
        <f>IF(A3&lt;Premissas!$B$21,SUM($E$2:E3),IF(A3=Premissas!$B$21,SUM($C$2:C2)*Premissas!$B$15*Premissas!$B$20+C3*Premissas!$B$15,C3*Premissas!$B$15))</f>
        <v/>
      </c>
      <c r="E3" s="46">
        <f>IF(A3&lt;Premissas!$B$21,C3*Premissas!$B$15*Premissas!$B$19/(Premissas!$B$21-A3),0)</f>
        <v/>
      </c>
      <c r="F3" s="46">
        <f>IF(A3&lt;Premissas!$B$21,Premissas!$B$12*INDEX(Premissas!$D$3:$D$32,A3+1),0)</f>
        <v/>
      </c>
      <c r="G3" s="46">
        <f>C3*Premissas!$B$24</f>
        <v/>
      </c>
      <c r="H3" s="46">
        <f>IF(A3=0,Premissas!$B$7*Premissas!$B$25*Premissas!$B$26,IF(A3&lt;=Premissas!$B$21,Premissas!$B$7*Premissas!$B$25*(1-Premissas!$B$26)/Premissas!$B$21,0))</f>
        <v/>
      </c>
      <c r="I3" s="46">
        <f>Premissas!$B$7*Premissas!$B$27/43</f>
        <v/>
      </c>
      <c r="J3" s="46">
        <f>D3*Premissas!$B$28</f>
        <v/>
      </c>
      <c r="K3" s="46">
        <f>Premissas!$B$7*Premissas!$B$29/43</f>
        <v/>
      </c>
      <c r="L3" s="46">
        <f>D3-F3-G3-H3-I3-J3-K3</f>
        <v/>
      </c>
      <c r="M3" s="46">
        <f>M2+L3</f>
        <v/>
      </c>
    </row>
    <row r="4" ht="15" customHeight="1" s="36">
      <c r="A4" s="40" t="n">
        <v>2</v>
      </c>
      <c r="B4" s="46">
        <f>B3-C3</f>
        <v/>
      </c>
      <c r="C4" s="46">
        <f>IF(A4&lt;=Premissas!$B$21,B4*Premissas!$B$18,B4/(43-A4))</f>
        <v/>
      </c>
      <c r="D4" s="46">
        <f>IF(A4&lt;Premissas!$B$21,SUM($E$2:E4),IF(A4=Premissas!$B$21,SUM($C$2:C3)*Premissas!$B$15*Premissas!$B$20+C4*Premissas!$B$15,C4*Premissas!$B$15))</f>
        <v/>
      </c>
      <c r="E4" s="46">
        <f>IF(A4&lt;Premissas!$B$21,C4*Premissas!$B$15*Premissas!$B$19/(Premissas!$B$21-A4),0)</f>
        <v/>
      </c>
      <c r="F4" s="46">
        <f>IF(A4&lt;Premissas!$B$21,Premissas!$B$12*INDEX(Premissas!$D$3:$D$32,A4+1),0)</f>
        <v/>
      </c>
      <c r="G4" s="46">
        <f>C4*Premissas!$B$24</f>
        <v/>
      </c>
      <c r="H4" s="46">
        <f>IF(A4=0,Premissas!$B$7*Premissas!$B$25*Premissas!$B$26,IF(A4&lt;=Premissas!$B$21,Premissas!$B$7*Premissas!$B$25*(1-Premissas!$B$26)/Premissas!$B$21,0))</f>
        <v/>
      </c>
      <c r="I4" s="46">
        <f>Premissas!$B$7*Premissas!$B$27/43</f>
        <v/>
      </c>
      <c r="J4" s="46">
        <f>D4*Premissas!$B$28</f>
        <v/>
      </c>
      <c r="K4" s="46">
        <f>Premissas!$B$7*Premissas!$B$29/43</f>
        <v/>
      </c>
      <c r="L4" s="46">
        <f>D4-F4-G4-H4-I4-J4-K4</f>
        <v/>
      </c>
      <c r="M4" s="46">
        <f>M3+L4</f>
        <v/>
      </c>
    </row>
    <row r="5" ht="15" customHeight="1" s="36">
      <c r="A5" s="40" t="n">
        <v>3</v>
      </c>
      <c r="B5" s="46">
        <f>B4-C4</f>
        <v/>
      </c>
      <c r="C5" s="46">
        <f>IF(A5&lt;=Premissas!$B$21,B5*Premissas!$B$18,B5/(43-A5))</f>
        <v/>
      </c>
      <c r="D5" s="46">
        <f>IF(A5&lt;Premissas!$B$21,SUM($E$2:E5),IF(A5=Premissas!$B$21,SUM($C$2:C4)*Premissas!$B$15*Premissas!$B$20+C5*Premissas!$B$15,C5*Premissas!$B$15))</f>
        <v/>
      </c>
      <c r="E5" s="46">
        <f>IF(A5&lt;Premissas!$B$21,C5*Premissas!$B$15*Premissas!$B$19/(Premissas!$B$21-A5),0)</f>
        <v/>
      </c>
      <c r="F5" s="46">
        <f>IF(A5&lt;Premissas!$B$21,Premissas!$B$12*INDEX(Premissas!$D$3:$D$32,A5+1),0)</f>
        <v/>
      </c>
      <c r="G5" s="46">
        <f>C5*Premissas!$B$24</f>
        <v/>
      </c>
      <c r="H5" s="46">
        <f>IF(A5=0,Premissas!$B$7*Premissas!$B$25*Premissas!$B$26,IF(A5&lt;=Premissas!$B$21,Premissas!$B$7*Premissas!$B$25*(1-Premissas!$B$26)/Premissas!$B$21,0))</f>
        <v/>
      </c>
      <c r="I5" s="46">
        <f>Premissas!$B$7*Premissas!$B$27/43</f>
        <v/>
      </c>
      <c r="J5" s="46">
        <f>D5*Premissas!$B$28</f>
        <v/>
      </c>
      <c r="K5" s="46">
        <f>Premissas!$B$7*Premissas!$B$29/43</f>
        <v/>
      </c>
      <c r="L5" s="46">
        <f>D5-F5-G5-H5-I5-J5-K5</f>
        <v/>
      </c>
      <c r="M5" s="46">
        <f>M4+L5</f>
        <v/>
      </c>
    </row>
    <row r="6" ht="15" customHeight="1" s="36">
      <c r="A6" s="40" t="n">
        <v>4</v>
      </c>
      <c r="B6" s="46">
        <f>B5-C5</f>
        <v/>
      </c>
      <c r="C6" s="46">
        <f>IF(A6&lt;=Premissas!$B$21,B6*Premissas!$B$18,B6/(43-A6))</f>
        <v/>
      </c>
      <c r="D6" s="46">
        <f>IF(A6&lt;Premissas!$B$21,SUM($E$2:E6),IF(A6=Premissas!$B$21,SUM($C$2:C5)*Premissas!$B$15*Premissas!$B$20+C6*Premissas!$B$15,C6*Premissas!$B$15))</f>
        <v/>
      </c>
      <c r="E6" s="46">
        <f>IF(A6&lt;Premissas!$B$21,C6*Premissas!$B$15*Premissas!$B$19/(Premissas!$B$21-A6),0)</f>
        <v/>
      </c>
      <c r="F6" s="46">
        <f>IF(A6&lt;Premissas!$B$21,Premissas!$B$12*INDEX(Premissas!$D$3:$D$32,A6+1),0)</f>
        <v/>
      </c>
      <c r="G6" s="46">
        <f>C6*Premissas!$B$24</f>
        <v/>
      </c>
      <c r="H6" s="46">
        <f>IF(A6=0,Premissas!$B$7*Premissas!$B$25*Premissas!$B$26,IF(A6&lt;=Premissas!$B$21,Premissas!$B$7*Premissas!$B$25*(1-Premissas!$B$26)/Premissas!$B$21,0))</f>
        <v/>
      </c>
      <c r="I6" s="46">
        <f>Premissas!$B$7*Premissas!$B$27/43</f>
        <v/>
      </c>
      <c r="J6" s="46">
        <f>D6*Premissas!$B$28</f>
        <v/>
      </c>
      <c r="K6" s="46">
        <f>Premissas!$B$7*Premissas!$B$29/43</f>
        <v/>
      </c>
      <c r="L6" s="46">
        <f>D6-F6-G6-H6-I6-J6-K6</f>
        <v/>
      </c>
      <c r="M6" s="46">
        <f>M5+L6</f>
        <v/>
      </c>
    </row>
    <row r="7" ht="15" customHeight="1" s="36">
      <c r="A7" s="40" t="n">
        <v>5</v>
      </c>
      <c r="B7" s="46">
        <f>B6-C6</f>
        <v/>
      </c>
      <c r="C7" s="46">
        <f>IF(A7&lt;=Premissas!$B$21,B7*Premissas!$B$18,B7/(43-A7))</f>
        <v/>
      </c>
      <c r="D7" s="46">
        <f>IF(A7&lt;Premissas!$B$21,SUM($E$2:E7),IF(A7=Premissas!$B$21,SUM($C$2:C6)*Premissas!$B$15*Premissas!$B$20+C7*Premissas!$B$15,C7*Premissas!$B$15))</f>
        <v/>
      </c>
      <c r="E7" s="46">
        <f>IF(A7&lt;Premissas!$B$21,C7*Premissas!$B$15*Premissas!$B$19/(Premissas!$B$21-A7),0)</f>
        <v/>
      </c>
      <c r="F7" s="46">
        <f>IF(A7&lt;Premissas!$B$21,Premissas!$B$12*INDEX(Premissas!$D$3:$D$32,A7+1),0)</f>
        <v/>
      </c>
      <c r="G7" s="46">
        <f>C7*Premissas!$B$24</f>
        <v/>
      </c>
      <c r="H7" s="46">
        <f>IF(A7=0,Premissas!$B$7*Premissas!$B$25*Premissas!$B$26,IF(A7&lt;=Premissas!$B$21,Premissas!$B$7*Premissas!$B$25*(1-Premissas!$B$26)/Premissas!$B$21,0))</f>
        <v/>
      </c>
      <c r="I7" s="46">
        <f>Premissas!$B$7*Premissas!$B$27/43</f>
        <v/>
      </c>
      <c r="J7" s="46">
        <f>D7*Premissas!$B$28</f>
        <v/>
      </c>
      <c r="K7" s="46">
        <f>Premissas!$B$7*Premissas!$B$29/43</f>
        <v/>
      </c>
      <c r="L7" s="46">
        <f>D7-F7-G7-H7-I7-J7-K7</f>
        <v/>
      </c>
      <c r="M7" s="46">
        <f>M6+L7</f>
        <v/>
      </c>
    </row>
    <row r="8" ht="15" customHeight="1" s="36">
      <c r="A8" s="40" t="n">
        <v>6</v>
      </c>
      <c r="B8" s="46">
        <f>B7-C7</f>
        <v/>
      </c>
      <c r="C8" s="46">
        <f>IF(A8&lt;=Premissas!$B$21,B8*Premissas!$B$18,B8/(43-A8))</f>
        <v/>
      </c>
      <c r="D8" s="46">
        <f>IF(A8&lt;Premissas!$B$21,SUM($E$2:E8),IF(A8=Premissas!$B$21,SUM($C$2:C7)*Premissas!$B$15*Premissas!$B$20+C8*Premissas!$B$15,C8*Premissas!$B$15))</f>
        <v/>
      </c>
      <c r="E8" s="46">
        <f>IF(A8&lt;Premissas!$B$21,C8*Premissas!$B$15*Premissas!$B$19/(Premissas!$B$21-A8),0)</f>
        <v/>
      </c>
      <c r="F8" s="46">
        <f>IF(A8&lt;Premissas!$B$21,Premissas!$B$12*INDEX(Premissas!$D$3:$D$32,A8+1),0)</f>
        <v/>
      </c>
      <c r="G8" s="46">
        <f>C8*Premissas!$B$24</f>
        <v/>
      </c>
      <c r="H8" s="46">
        <f>IF(A8=0,Premissas!$B$7*Premissas!$B$25*Premissas!$B$26,IF(A8&lt;=Premissas!$B$21,Premissas!$B$7*Premissas!$B$25*(1-Premissas!$B$26)/Premissas!$B$21,0))</f>
        <v/>
      </c>
      <c r="I8" s="46">
        <f>Premissas!$B$7*Premissas!$B$27/43</f>
        <v/>
      </c>
      <c r="J8" s="46">
        <f>D8*Premissas!$B$28</f>
        <v/>
      </c>
      <c r="K8" s="46">
        <f>Premissas!$B$7*Premissas!$B$29/43</f>
        <v/>
      </c>
      <c r="L8" s="46">
        <f>D8-F8-G8-H8-I8-J8-K8</f>
        <v/>
      </c>
      <c r="M8" s="46">
        <f>M7+L8</f>
        <v/>
      </c>
    </row>
    <row r="9" ht="15" customHeight="1" s="36">
      <c r="A9" s="40" t="n">
        <v>7</v>
      </c>
      <c r="B9" s="46">
        <f>B8-C8</f>
        <v/>
      </c>
      <c r="C9" s="46">
        <f>IF(A9&lt;=Premissas!$B$21,B9*Premissas!$B$18,B9/(43-A9))</f>
        <v/>
      </c>
      <c r="D9" s="46">
        <f>IF(A9&lt;Premissas!$B$21,SUM($E$2:E9),IF(A9=Premissas!$B$21,SUM($C$2:C8)*Premissas!$B$15*Premissas!$B$20+C9*Premissas!$B$15,C9*Premissas!$B$15))</f>
        <v/>
      </c>
      <c r="E9" s="46">
        <f>IF(A9&lt;Premissas!$B$21,C9*Premissas!$B$15*Premissas!$B$19/(Premissas!$B$21-A9),0)</f>
        <v/>
      </c>
      <c r="F9" s="46">
        <f>IF(A9&lt;Premissas!$B$21,Premissas!$B$12*INDEX(Premissas!$D$3:$D$32,A9+1),0)</f>
        <v/>
      </c>
      <c r="G9" s="46">
        <f>C9*Premissas!$B$24</f>
        <v/>
      </c>
      <c r="H9" s="46">
        <f>IF(A9=0,Premissas!$B$7*Premissas!$B$25*Premissas!$B$26,IF(A9&lt;=Premissas!$B$21,Premissas!$B$7*Premissas!$B$25*(1-Premissas!$B$26)/Premissas!$B$21,0))</f>
        <v/>
      </c>
      <c r="I9" s="46">
        <f>Premissas!$B$7*Premissas!$B$27/43</f>
        <v/>
      </c>
      <c r="J9" s="46">
        <f>D9*Premissas!$B$28</f>
        <v/>
      </c>
      <c r="K9" s="46">
        <f>Premissas!$B$7*Premissas!$B$29/43</f>
        <v/>
      </c>
      <c r="L9" s="46">
        <f>D9-F9-G9-H9-I9-J9-K9</f>
        <v/>
      </c>
      <c r="M9" s="46">
        <f>M8+L9</f>
        <v/>
      </c>
    </row>
    <row r="10" ht="15" customHeight="1" s="36">
      <c r="A10" s="40" t="n">
        <v>8</v>
      </c>
      <c r="B10" s="46">
        <f>B9-C9</f>
        <v/>
      </c>
      <c r="C10" s="46">
        <f>IF(A10&lt;=Premissas!$B$21,B10*Premissas!$B$18,B10/(43-A10))</f>
        <v/>
      </c>
      <c r="D10" s="46">
        <f>IF(A10&lt;Premissas!$B$21,SUM($E$2:E10),IF(A10=Premissas!$B$21,SUM($C$2:C9)*Premissas!$B$15*Premissas!$B$20+C10*Premissas!$B$15,C10*Premissas!$B$15))</f>
        <v/>
      </c>
      <c r="E10" s="46">
        <f>IF(A10&lt;Premissas!$B$21,C10*Premissas!$B$15*Premissas!$B$19/(Premissas!$B$21-A10),0)</f>
        <v/>
      </c>
      <c r="F10" s="46">
        <f>IF(A10&lt;Premissas!$B$21,Premissas!$B$12*INDEX(Premissas!$D$3:$D$32,A10+1),0)</f>
        <v/>
      </c>
      <c r="G10" s="46">
        <f>C10*Premissas!$B$24</f>
        <v/>
      </c>
      <c r="H10" s="46">
        <f>IF(A10=0,Premissas!$B$7*Premissas!$B$25*Premissas!$B$26,IF(A10&lt;=Premissas!$B$21,Premissas!$B$7*Premissas!$B$25*(1-Premissas!$B$26)/Premissas!$B$21,0))</f>
        <v/>
      </c>
      <c r="I10" s="46">
        <f>Premissas!$B$7*Premissas!$B$27/43</f>
        <v/>
      </c>
      <c r="J10" s="46">
        <f>D10*Premissas!$B$28</f>
        <v/>
      </c>
      <c r="K10" s="46">
        <f>Premissas!$B$7*Premissas!$B$29/43</f>
        <v/>
      </c>
      <c r="L10" s="46">
        <f>D10-F10-G10-H10-I10-J10-K10</f>
        <v/>
      </c>
      <c r="M10" s="46">
        <f>M9+L10</f>
        <v/>
      </c>
    </row>
    <row r="11" ht="15" customHeight="1" s="36">
      <c r="A11" s="40" t="n">
        <v>9</v>
      </c>
      <c r="B11" s="46">
        <f>B10-C10</f>
        <v/>
      </c>
      <c r="C11" s="46">
        <f>IF(A11&lt;=Premissas!$B$21,B11*Premissas!$B$18,B11/(43-A11))</f>
        <v/>
      </c>
      <c r="D11" s="46">
        <f>IF(A11&lt;Premissas!$B$21,SUM($E$2:E11),IF(A11=Premissas!$B$21,SUM($C$2:C10)*Premissas!$B$15*Premissas!$B$20+C11*Premissas!$B$15,C11*Premissas!$B$15))</f>
        <v/>
      </c>
      <c r="E11" s="46">
        <f>IF(A11&lt;Premissas!$B$21,C11*Premissas!$B$15*Premissas!$B$19/(Premissas!$B$21-A11),0)</f>
        <v/>
      </c>
      <c r="F11" s="46">
        <f>IF(A11&lt;Premissas!$B$21,Premissas!$B$12*INDEX(Premissas!$D$3:$D$32,A11+1),0)</f>
        <v/>
      </c>
      <c r="G11" s="46">
        <f>C11*Premissas!$B$24</f>
        <v/>
      </c>
      <c r="H11" s="46">
        <f>IF(A11=0,Premissas!$B$7*Premissas!$B$25*Premissas!$B$26,IF(A11&lt;=Premissas!$B$21,Premissas!$B$7*Premissas!$B$25*(1-Premissas!$B$26)/Premissas!$B$21,0))</f>
        <v/>
      </c>
      <c r="I11" s="46">
        <f>Premissas!$B$7*Premissas!$B$27/43</f>
        <v/>
      </c>
      <c r="J11" s="46">
        <f>D11*Premissas!$B$28</f>
        <v/>
      </c>
      <c r="K11" s="46">
        <f>Premissas!$B$7*Premissas!$B$29/43</f>
        <v/>
      </c>
      <c r="L11" s="46">
        <f>D11-F11-G11-H11-I11-J11-K11</f>
        <v/>
      </c>
      <c r="M11" s="46">
        <f>M10+L11</f>
        <v/>
      </c>
    </row>
    <row r="12" ht="15" customHeight="1" s="36">
      <c r="A12" s="40" t="n">
        <v>10</v>
      </c>
      <c r="B12" s="46">
        <f>B11-C11</f>
        <v/>
      </c>
      <c r="C12" s="46">
        <f>IF(A12&lt;=Premissas!$B$21,B12*Premissas!$B$18,B12/(43-A12))</f>
        <v/>
      </c>
      <c r="D12" s="46">
        <f>IF(A12&lt;Premissas!$B$21,SUM($E$2:E12),IF(A12=Premissas!$B$21,SUM($C$2:C11)*Premissas!$B$15*Premissas!$B$20+C12*Premissas!$B$15,C12*Premissas!$B$15))</f>
        <v/>
      </c>
      <c r="E12" s="46">
        <f>IF(A12&lt;Premissas!$B$21,C12*Premissas!$B$15*Premissas!$B$19/(Premissas!$B$21-A12),0)</f>
        <v/>
      </c>
      <c r="F12" s="46">
        <f>IF(A12&lt;Premissas!$B$21,Premissas!$B$12*INDEX(Premissas!$D$3:$D$32,A12+1),0)</f>
        <v/>
      </c>
      <c r="G12" s="46">
        <f>C12*Premissas!$B$24</f>
        <v/>
      </c>
      <c r="H12" s="46">
        <f>IF(A12=0,Premissas!$B$7*Premissas!$B$25*Premissas!$B$26,IF(A12&lt;=Premissas!$B$21,Premissas!$B$7*Premissas!$B$25*(1-Premissas!$B$26)/Premissas!$B$21,0))</f>
        <v/>
      </c>
      <c r="I12" s="46">
        <f>Premissas!$B$7*Premissas!$B$27/43</f>
        <v/>
      </c>
      <c r="J12" s="46">
        <f>D12*Premissas!$B$28</f>
        <v/>
      </c>
      <c r="K12" s="46">
        <f>Premissas!$B$7*Premissas!$B$29/43</f>
        <v/>
      </c>
      <c r="L12" s="46">
        <f>D12-F12-G12-H12-I12-J12-K12</f>
        <v/>
      </c>
      <c r="M12" s="46">
        <f>M11+L12</f>
        <v/>
      </c>
    </row>
    <row r="13" ht="15" customHeight="1" s="36">
      <c r="A13" s="40" t="n">
        <v>11</v>
      </c>
      <c r="B13" s="46">
        <f>B12-C12</f>
        <v/>
      </c>
      <c r="C13" s="46">
        <f>IF(A13&lt;=Premissas!$B$21,B13*Premissas!$B$18,B13/(43-A13))</f>
        <v/>
      </c>
      <c r="D13" s="46">
        <f>IF(A13&lt;Premissas!$B$21,SUM($E$2:E13),IF(A13=Premissas!$B$21,SUM($C$2:C12)*Premissas!$B$15*Premissas!$B$20+C13*Premissas!$B$15,C13*Premissas!$B$15))</f>
        <v/>
      </c>
      <c r="E13" s="46">
        <f>IF(A13&lt;Premissas!$B$21,C13*Premissas!$B$15*Premissas!$B$19/(Premissas!$B$21-A13),0)</f>
        <v/>
      </c>
      <c r="F13" s="46">
        <f>IF(A13&lt;Premissas!$B$21,Premissas!$B$12*INDEX(Premissas!$D$3:$D$32,A13+1),0)</f>
        <v/>
      </c>
      <c r="G13" s="46">
        <f>C13*Premissas!$B$24</f>
        <v/>
      </c>
      <c r="H13" s="46">
        <f>IF(A13=0,Premissas!$B$7*Premissas!$B$25*Premissas!$B$26,IF(A13&lt;=Premissas!$B$21,Premissas!$B$7*Premissas!$B$25*(1-Premissas!$B$26)/Premissas!$B$21,0))</f>
        <v/>
      </c>
      <c r="I13" s="46">
        <f>Premissas!$B$7*Premissas!$B$27/43</f>
        <v/>
      </c>
      <c r="J13" s="46">
        <f>D13*Premissas!$B$28</f>
        <v/>
      </c>
      <c r="K13" s="46">
        <f>Premissas!$B$7*Premissas!$B$29/43</f>
        <v/>
      </c>
      <c r="L13" s="46">
        <f>D13-F13-G13-H13-I13-J13-K13</f>
        <v/>
      </c>
      <c r="M13" s="46">
        <f>M12+L13</f>
        <v/>
      </c>
    </row>
    <row r="14" ht="15" customHeight="1" s="36">
      <c r="A14" s="40" t="n">
        <v>12</v>
      </c>
      <c r="B14" s="46">
        <f>B13-C13</f>
        <v/>
      </c>
      <c r="C14" s="46">
        <f>IF(A14&lt;=Premissas!$B$21,B14*Premissas!$B$18,B14/(43-A14))</f>
        <v/>
      </c>
      <c r="D14" s="46">
        <f>IF(A14&lt;Premissas!$B$21,SUM($E$2:E14),IF(A14=Premissas!$B$21,SUM($C$2:C13)*Premissas!$B$15*Premissas!$B$20+C14*Premissas!$B$15,C14*Premissas!$B$15))</f>
        <v/>
      </c>
      <c r="E14" s="46">
        <f>IF(A14&lt;Premissas!$B$21,C14*Premissas!$B$15*Premissas!$B$19/(Premissas!$B$21-A14),0)</f>
        <v/>
      </c>
      <c r="F14" s="46">
        <f>IF(A14&lt;Premissas!$B$21,Premissas!$B$12*INDEX(Premissas!$D$3:$D$32,A14+1),0)</f>
        <v/>
      </c>
      <c r="G14" s="46">
        <f>C14*Premissas!$B$24</f>
        <v/>
      </c>
      <c r="H14" s="46">
        <f>IF(A14=0,Premissas!$B$7*Premissas!$B$25*Premissas!$B$26,IF(A14&lt;=Premissas!$B$21,Premissas!$B$7*Premissas!$B$25*(1-Premissas!$B$26)/Premissas!$B$21,0))</f>
        <v/>
      </c>
      <c r="I14" s="46">
        <f>Premissas!$B$7*Premissas!$B$27/43</f>
        <v/>
      </c>
      <c r="J14" s="46">
        <f>D14*Premissas!$B$28</f>
        <v/>
      </c>
      <c r="K14" s="46">
        <f>Premissas!$B$7*Premissas!$B$29/43</f>
        <v/>
      </c>
      <c r="L14" s="46">
        <f>D14-F14-G14-H14-I14-J14-K14</f>
        <v/>
      </c>
      <c r="M14" s="46">
        <f>M13+L14</f>
        <v/>
      </c>
    </row>
    <row r="15" ht="15" customHeight="1" s="36">
      <c r="A15" s="40" t="n">
        <v>13</v>
      </c>
      <c r="B15" s="46">
        <f>B14-C14</f>
        <v/>
      </c>
      <c r="C15" s="46">
        <f>IF(A15&lt;=Premissas!$B$21,B15*Premissas!$B$18,B15/(43-A15))</f>
        <v/>
      </c>
      <c r="D15" s="46">
        <f>IF(A15&lt;Premissas!$B$21,SUM($E$2:E15),IF(A15=Premissas!$B$21,SUM($C$2:C14)*Premissas!$B$15*Premissas!$B$20+C15*Premissas!$B$15,C15*Premissas!$B$15))</f>
        <v/>
      </c>
      <c r="E15" s="46">
        <f>IF(A15&lt;Premissas!$B$21,C15*Premissas!$B$15*Premissas!$B$19/(Premissas!$B$21-A15),0)</f>
        <v/>
      </c>
      <c r="F15" s="46">
        <f>IF(A15&lt;Premissas!$B$21,Premissas!$B$12*INDEX(Premissas!$D$3:$D$32,A15+1),0)</f>
        <v/>
      </c>
      <c r="G15" s="46">
        <f>C15*Premissas!$B$24</f>
        <v/>
      </c>
      <c r="H15" s="46">
        <f>IF(A15=0,Premissas!$B$7*Premissas!$B$25*Premissas!$B$26,IF(A15&lt;=Premissas!$B$21,Premissas!$B$7*Premissas!$B$25*(1-Premissas!$B$26)/Premissas!$B$21,0))</f>
        <v/>
      </c>
      <c r="I15" s="46">
        <f>Premissas!$B$7*Premissas!$B$27/43</f>
        <v/>
      </c>
      <c r="J15" s="46">
        <f>D15*Premissas!$B$28</f>
        <v/>
      </c>
      <c r="K15" s="46">
        <f>Premissas!$B$7*Premissas!$B$29/43</f>
        <v/>
      </c>
      <c r="L15" s="46">
        <f>D15-F15-G15-H15-I15-J15-K15</f>
        <v/>
      </c>
      <c r="M15" s="46">
        <f>M14+L15</f>
        <v/>
      </c>
    </row>
    <row r="16" ht="15" customHeight="1" s="36">
      <c r="A16" s="40" t="n">
        <v>14</v>
      </c>
      <c r="B16" s="46">
        <f>B15-C15</f>
        <v/>
      </c>
      <c r="C16" s="46">
        <f>IF(A16&lt;=Premissas!$B$21,B16*Premissas!$B$18,B16/(43-A16))</f>
        <v/>
      </c>
      <c r="D16" s="46">
        <f>IF(A16&lt;Premissas!$B$21,SUM($E$2:E16),IF(A16=Premissas!$B$21,SUM($C$2:C15)*Premissas!$B$15*Premissas!$B$20+C16*Premissas!$B$15,C16*Premissas!$B$15))</f>
        <v/>
      </c>
      <c r="E16" s="46">
        <f>IF(A16&lt;Premissas!$B$21,C16*Premissas!$B$15*Premissas!$B$19/(Premissas!$B$21-A16),0)</f>
        <v/>
      </c>
      <c r="F16" s="46">
        <f>IF(A16&lt;Premissas!$B$21,Premissas!$B$12*INDEX(Premissas!$D$3:$D$32,A16+1),0)</f>
        <v/>
      </c>
      <c r="G16" s="46">
        <f>C16*Premissas!$B$24</f>
        <v/>
      </c>
      <c r="H16" s="46">
        <f>IF(A16=0,Premissas!$B$7*Premissas!$B$25*Premissas!$B$26,IF(A16&lt;=Premissas!$B$21,Premissas!$B$7*Premissas!$B$25*(1-Premissas!$B$26)/Premissas!$B$21,0))</f>
        <v/>
      </c>
      <c r="I16" s="46">
        <f>Premissas!$B$7*Premissas!$B$27/43</f>
        <v/>
      </c>
      <c r="J16" s="46">
        <f>D16*Premissas!$B$28</f>
        <v/>
      </c>
      <c r="K16" s="46">
        <f>Premissas!$B$7*Premissas!$B$29/43</f>
        <v/>
      </c>
      <c r="L16" s="46">
        <f>D16-F16-G16-H16-I16-J16-K16</f>
        <v/>
      </c>
      <c r="M16" s="46">
        <f>M15+L16</f>
        <v/>
      </c>
    </row>
    <row r="17" ht="15" customHeight="1" s="36">
      <c r="A17" s="40" t="n">
        <v>15</v>
      </c>
      <c r="B17" s="46">
        <f>B16-C16</f>
        <v/>
      </c>
      <c r="C17" s="46">
        <f>IF(A17&lt;=Premissas!$B$21,B17*Premissas!$B$18,B17/(43-A17))</f>
        <v/>
      </c>
      <c r="D17" s="46">
        <f>IF(A17&lt;Premissas!$B$21,SUM($E$2:E17),IF(A17=Premissas!$B$21,SUM($C$2:C16)*Premissas!$B$15*Premissas!$B$20+C17*Premissas!$B$15,C17*Premissas!$B$15))</f>
        <v/>
      </c>
      <c r="E17" s="46">
        <f>IF(A17&lt;Premissas!$B$21,C17*Premissas!$B$15*Premissas!$B$19/(Premissas!$B$21-A17),0)</f>
        <v/>
      </c>
      <c r="F17" s="46">
        <f>IF(A17&lt;Premissas!$B$21,Premissas!$B$12*INDEX(Premissas!$D$3:$D$32,A17+1),0)</f>
        <v/>
      </c>
      <c r="G17" s="46">
        <f>C17*Premissas!$B$24</f>
        <v/>
      </c>
      <c r="H17" s="46">
        <f>IF(A17=0,Premissas!$B$7*Premissas!$B$25*Premissas!$B$26,IF(A17&lt;=Premissas!$B$21,Premissas!$B$7*Premissas!$B$25*(1-Premissas!$B$26)/Premissas!$B$21,0))</f>
        <v/>
      </c>
      <c r="I17" s="46">
        <f>Premissas!$B$7*Premissas!$B$27/43</f>
        <v/>
      </c>
      <c r="J17" s="46">
        <f>D17*Premissas!$B$28</f>
        <v/>
      </c>
      <c r="K17" s="46">
        <f>Premissas!$B$7*Premissas!$B$29/43</f>
        <v/>
      </c>
      <c r="L17" s="46">
        <f>D17-F17-G17-H17-I17-J17-K17</f>
        <v/>
      </c>
      <c r="M17" s="46">
        <f>M16+L17</f>
        <v/>
      </c>
    </row>
    <row r="18" ht="15" customHeight="1" s="36">
      <c r="A18" s="40" t="n">
        <v>16</v>
      </c>
      <c r="B18" s="46">
        <f>B17-C17</f>
        <v/>
      </c>
      <c r="C18" s="46">
        <f>IF(A18&lt;=Premissas!$B$21,B18*Premissas!$B$18,B18/(43-A18))</f>
        <v/>
      </c>
      <c r="D18" s="46">
        <f>IF(A18&lt;Premissas!$B$21,SUM($E$2:E18),IF(A18=Premissas!$B$21,SUM($C$2:C17)*Premissas!$B$15*Premissas!$B$20+C18*Premissas!$B$15,C18*Premissas!$B$15))</f>
        <v/>
      </c>
      <c r="E18" s="46">
        <f>IF(A18&lt;Premissas!$B$21,C18*Premissas!$B$15*Premissas!$B$19/(Premissas!$B$21-A18),0)</f>
        <v/>
      </c>
      <c r="F18" s="46">
        <f>IF(A18&lt;Premissas!$B$21,Premissas!$B$12*INDEX(Premissas!$D$3:$D$32,A18+1),0)</f>
        <v/>
      </c>
      <c r="G18" s="46">
        <f>C18*Premissas!$B$24</f>
        <v/>
      </c>
      <c r="H18" s="46">
        <f>IF(A18=0,Premissas!$B$7*Premissas!$B$25*Premissas!$B$26,IF(A18&lt;=Premissas!$B$21,Premissas!$B$7*Premissas!$B$25*(1-Premissas!$B$26)/Premissas!$B$21,0))</f>
        <v/>
      </c>
      <c r="I18" s="46">
        <f>Premissas!$B$7*Premissas!$B$27/43</f>
        <v/>
      </c>
      <c r="J18" s="46">
        <f>D18*Premissas!$B$28</f>
        <v/>
      </c>
      <c r="K18" s="46">
        <f>Premissas!$B$7*Premissas!$B$29/43</f>
        <v/>
      </c>
      <c r="L18" s="46">
        <f>D18-F18-G18-H18-I18-J18-K18</f>
        <v/>
      </c>
      <c r="M18" s="46">
        <f>M17+L18</f>
        <v/>
      </c>
    </row>
    <row r="19" ht="15" customHeight="1" s="36">
      <c r="A19" s="40" t="n">
        <v>17</v>
      </c>
      <c r="B19" s="46">
        <f>B18-C18</f>
        <v/>
      </c>
      <c r="C19" s="46">
        <f>IF(A19&lt;=Premissas!$B$21,B19*Premissas!$B$18,B19/(43-A19))</f>
        <v/>
      </c>
      <c r="D19" s="46">
        <f>IF(A19&lt;Premissas!$B$21,SUM($E$2:E19),IF(A19=Premissas!$B$21,SUM($C$2:C18)*Premissas!$B$15*Premissas!$B$20+C19*Premissas!$B$15,C19*Premissas!$B$15))</f>
        <v/>
      </c>
      <c r="E19" s="46">
        <f>IF(A19&lt;Premissas!$B$21,C19*Premissas!$B$15*Premissas!$B$19/(Premissas!$B$21-A19),0)</f>
        <v/>
      </c>
      <c r="F19" s="46">
        <f>IF(A19&lt;Premissas!$B$21,Premissas!$B$12*INDEX(Premissas!$D$3:$D$32,A19+1),0)</f>
        <v/>
      </c>
      <c r="G19" s="46">
        <f>C19*Premissas!$B$24</f>
        <v/>
      </c>
      <c r="H19" s="46">
        <f>IF(A19=0,Premissas!$B$7*Premissas!$B$25*Premissas!$B$26,IF(A19&lt;=Premissas!$B$21,Premissas!$B$7*Premissas!$B$25*(1-Premissas!$B$26)/Premissas!$B$21,0))</f>
        <v/>
      </c>
      <c r="I19" s="46">
        <f>Premissas!$B$7*Premissas!$B$27/43</f>
        <v/>
      </c>
      <c r="J19" s="46">
        <f>D19*Premissas!$B$28</f>
        <v/>
      </c>
      <c r="K19" s="46">
        <f>Premissas!$B$7*Premissas!$B$29/43</f>
        <v/>
      </c>
      <c r="L19" s="46">
        <f>D19-F19-G19-H19-I19-J19-K19</f>
        <v/>
      </c>
      <c r="M19" s="46">
        <f>M18+L19</f>
        <v/>
      </c>
    </row>
    <row r="20" ht="15" customHeight="1" s="36">
      <c r="A20" s="40" t="n">
        <v>18</v>
      </c>
      <c r="B20" s="46">
        <f>B19-C19</f>
        <v/>
      </c>
      <c r="C20" s="46">
        <f>IF(A20&lt;=Premissas!$B$21,B20*Premissas!$B$18,B20/(43-A20))</f>
        <v/>
      </c>
      <c r="D20" s="46">
        <f>IF(A20&lt;Premissas!$B$21,SUM($E$2:E20),IF(A20=Premissas!$B$21,SUM($C$2:C19)*Premissas!$B$15*Premissas!$B$20+C20*Premissas!$B$15,C20*Premissas!$B$15))</f>
        <v/>
      </c>
      <c r="E20" s="46">
        <f>IF(A20&lt;Premissas!$B$21,C20*Premissas!$B$15*Premissas!$B$19/(Premissas!$B$21-A20),0)</f>
        <v/>
      </c>
      <c r="F20" s="46">
        <f>IF(A20&lt;Premissas!$B$21,Premissas!$B$12*INDEX(Premissas!$D$3:$D$32,A20+1),0)</f>
        <v/>
      </c>
      <c r="G20" s="46">
        <f>C20*Premissas!$B$24</f>
        <v/>
      </c>
      <c r="H20" s="46">
        <f>IF(A20=0,Premissas!$B$7*Premissas!$B$25*Premissas!$B$26,IF(A20&lt;=Premissas!$B$21,Premissas!$B$7*Premissas!$B$25*(1-Premissas!$B$26)/Premissas!$B$21,0))</f>
        <v/>
      </c>
      <c r="I20" s="46">
        <f>Premissas!$B$7*Premissas!$B$27/43</f>
        <v/>
      </c>
      <c r="J20" s="46">
        <f>D20*Premissas!$B$28</f>
        <v/>
      </c>
      <c r="K20" s="46">
        <f>Premissas!$B$7*Premissas!$B$29/43</f>
        <v/>
      </c>
      <c r="L20" s="46">
        <f>D20-F20-G20-H20-I20-J20-K20</f>
        <v/>
      </c>
      <c r="M20" s="46">
        <f>M19+L20</f>
        <v/>
      </c>
    </row>
    <row r="21" ht="15" customHeight="1" s="36">
      <c r="A21" s="40" t="n">
        <v>19</v>
      </c>
      <c r="B21" s="46">
        <f>B20-C20</f>
        <v/>
      </c>
      <c r="C21" s="46">
        <f>IF(A21&lt;=Premissas!$B$21,B21*Premissas!$B$18,B21/(43-A21))</f>
        <v/>
      </c>
      <c r="D21" s="46">
        <f>IF(A21&lt;Premissas!$B$21,SUM($E$2:E21),IF(A21=Premissas!$B$21,SUM($C$2:C20)*Premissas!$B$15*Premissas!$B$20+C21*Premissas!$B$15,C21*Premissas!$B$15))</f>
        <v/>
      </c>
      <c r="E21" s="46">
        <f>IF(A21&lt;Premissas!$B$21,C21*Premissas!$B$15*Premissas!$B$19/(Premissas!$B$21-A21),0)</f>
        <v/>
      </c>
      <c r="F21" s="46">
        <f>IF(A21&lt;Premissas!$B$21,Premissas!$B$12*INDEX(Premissas!$D$3:$D$32,A21+1),0)</f>
        <v/>
      </c>
      <c r="G21" s="46">
        <f>C21*Premissas!$B$24</f>
        <v/>
      </c>
      <c r="H21" s="46">
        <f>IF(A21=0,Premissas!$B$7*Premissas!$B$25*Premissas!$B$26,IF(A21&lt;=Premissas!$B$21,Premissas!$B$7*Premissas!$B$25*(1-Premissas!$B$26)/Premissas!$B$21,0))</f>
        <v/>
      </c>
      <c r="I21" s="46">
        <f>Premissas!$B$7*Premissas!$B$27/43</f>
        <v/>
      </c>
      <c r="J21" s="46">
        <f>D21*Premissas!$B$28</f>
        <v/>
      </c>
      <c r="K21" s="46">
        <f>Premissas!$B$7*Premissas!$B$29/43</f>
        <v/>
      </c>
      <c r="L21" s="46">
        <f>D21-F21-G21-H21-I21-J21-K21</f>
        <v/>
      </c>
      <c r="M21" s="46">
        <f>M20+L21</f>
        <v/>
      </c>
    </row>
    <row r="22" ht="15" customHeight="1" s="36">
      <c r="A22" s="40" t="n">
        <v>20</v>
      </c>
      <c r="B22" s="46">
        <f>B21-C21</f>
        <v/>
      </c>
      <c r="C22" s="46">
        <f>IF(A22&lt;=Premissas!$B$21,B22*Premissas!$B$18,B22/(43-A22))</f>
        <v/>
      </c>
      <c r="D22" s="46">
        <f>IF(A22&lt;Premissas!$B$21,SUM($E$2:E22),IF(A22=Premissas!$B$21,SUM($C$2:C21)*Premissas!$B$15*Premissas!$B$20+C22*Premissas!$B$15,C22*Premissas!$B$15))</f>
        <v/>
      </c>
      <c r="E22" s="46">
        <f>IF(A22&lt;Premissas!$B$21,C22*Premissas!$B$15*Premissas!$B$19/(Premissas!$B$21-A22),0)</f>
        <v/>
      </c>
      <c r="F22" s="46">
        <f>IF(A22&lt;Premissas!$B$21,Premissas!$B$12*INDEX(Premissas!$D$3:$D$32,A22+1),0)</f>
        <v/>
      </c>
      <c r="G22" s="46">
        <f>C22*Premissas!$B$24</f>
        <v/>
      </c>
      <c r="H22" s="46">
        <f>IF(A22=0,Premissas!$B$7*Premissas!$B$25*Premissas!$B$26,IF(A22&lt;=Premissas!$B$21,Premissas!$B$7*Premissas!$B$25*(1-Premissas!$B$26)/Premissas!$B$21,0))</f>
        <v/>
      </c>
      <c r="I22" s="46">
        <f>Premissas!$B$7*Premissas!$B$27/43</f>
        <v/>
      </c>
      <c r="J22" s="46">
        <f>D22*Premissas!$B$28</f>
        <v/>
      </c>
      <c r="K22" s="46">
        <f>Premissas!$B$7*Premissas!$B$29/43</f>
        <v/>
      </c>
      <c r="L22" s="46">
        <f>D22-F22-G22-H22-I22-J22-K22</f>
        <v/>
      </c>
      <c r="M22" s="46">
        <f>M21+L22</f>
        <v/>
      </c>
    </row>
    <row r="23" ht="15" customHeight="1" s="36">
      <c r="A23" s="40" t="n">
        <v>21</v>
      </c>
      <c r="B23" s="46">
        <f>B22-C22</f>
        <v/>
      </c>
      <c r="C23" s="46">
        <f>IF(A23&lt;=Premissas!$B$21,B23*Premissas!$B$18,B23/(43-A23))</f>
        <v/>
      </c>
      <c r="D23" s="46">
        <f>IF(A23&lt;Premissas!$B$21,SUM($E$2:E23),IF(A23=Premissas!$B$21,SUM($C$2:C22)*Premissas!$B$15*Premissas!$B$20+C23*Premissas!$B$15,C23*Premissas!$B$15))</f>
        <v/>
      </c>
      <c r="E23" s="46">
        <f>IF(A23&lt;Premissas!$B$21,C23*Premissas!$B$15*Premissas!$B$19/(Premissas!$B$21-A23),0)</f>
        <v/>
      </c>
      <c r="F23" s="46">
        <f>IF(A23&lt;Premissas!$B$21,Premissas!$B$12*INDEX(Premissas!$D$3:$D$32,A23+1),0)</f>
        <v/>
      </c>
      <c r="G23" s="46">
        <f>C23*Premissas!$B$24</f>
        <v/>
      </c>
      <c r="H23" s="46">
        <f>IF(A23=0,Premissas!$B$7*Premissas!$B$25*Premissas!$B$26,IF(A23&lt;=Premissas!$B$21,Premissas!$B$7*Premissas!$B$25*(1-Premissas!$B$26)/Premissas!$B$21,0))</f>
        <v/>
      </c>
      <c r="I23" s="46">
        <f>Premissas!$B$7*Premissas!$B$27/43</f>
        <v/>
      </c>
      <c r="J23" s="46">
        <f>D23*Premissas!$B$28</f>
        <v/>
      </c>
      <c r="K23" s="46">
        <f>Premissas!$B$7*Premissas!$B$29/43</f>
        <v/>
      </c>
      <c r="L23" s="46">
        <f>D23-F23-G23-H23-I23-J23-K23</f>
        <v/>
      </c>
      <c r="M23" s="46">
        <f>M22+L23</f>
        <v/>
      </c>
    </row>
    <row r="24" ht="15" customHeight="1" s="36">
      <c r="A24" s="40" t="n">
        <v>22</v>
      </c>
      <c r="B24" s="46">
        <f>B23-C23</f>
        <v/>
      </c>
      <c r="C24" s="46">
        <f>IF(A24&lt;=Premissas!$B$21,B24*Premissas!$B$18,B24/(43-A24))</f>
        <v/>
      </c>
      <c r="D24" s="46">
        <f>IF(A24&lt;Premissas!$B$21,SUM($E$2:E24),IF(A24=Premissas!$B$21,SUM($C$2:C23)*Premissas!$B$15*Premissas!$B$20+C24*Premissas!$B$15,C24*Premissas!$B$15))</f>
        <v/>
      </c>
      <c r="E24" s="46">
        <f>IF(A24&lt;Premissas!$B$21,C24*Premissas!$B$15*Premissas!$B$19/(Premissas!$B$21-A24),0)</f>
        <v/>
      </c>
      <c r="F24" s="46">
        <f>IF(A24&lt;Premissas!$B$21,Premissas!$B$12*INDEX(Premissas!$D$3:$D$32,A24+1),0)</f>
        <v/>
      </c>
      <c r="G24" s="46">
        <f>C24*Premissas!$B$24</f>
        <v/>
      </c>
      <c r="H24" s="46">
        <f>IF(A24=0,Premissas!$B$7*Premissas!$B$25*Premissas!$B$26,IF(A24&lt;=Premissas!$B$21,Premissas!$B$7*Premissas!$B$25*(1-Premissas!$B$26)/Premissas!$B$21,0))</f>
        <v/>
      </c>
      <c r="I24" s="46">
        <f>Premissas!$B$7*Premissas!$B$27/43</f>
        <v/>
      </c>
      <c r="J24" s="46">
        <f>D24*Premissas!$B$28</f>
        <v/>
      </c>
      <c r="K24" s="46">
        <f>Premissas!$B$7*Premissas!$B$29/43</f>
        <v/>
      </c>
      <c r="L24" s="46">
        <f>D24-F24-G24-H24-I24-J24-K24</f>
        <v/>
      </c>
      <c r="M24" s="46">
        <f>M23+L24</f>
        <v/>
      </c>
    </row>
    <row r="25" ht="15" customHeight="1" s="36">
      <c r="A25" s="40" t="n">
        <v>23</v>
      </c>
      <c r="B25" s="46">
        <f>B24-C24</f>
        <v/>
      </c>
      <c r="C25" s="46">
        <f>IF(A25&lt;=Premissas!$B$21,B25*Premissas!$B$18,B25/(43-A25))</f>
        <v/>
      </c>
      <c r="D25" s="46">
        <f>IF(A25&lt;Premissas!$B$21,SUM($E$2:E25),IF(A25=Premissas!$B$21,SUM($C$2:C24)*Premissas!$B$15*Premissas!$B$20+C25*Premissas!$B$15,C25*Premissas!$B$15))</f>
        <v/>
      </c>
      <c r="E25" s="46">
        <f>IF(A25&lt;Premissas!$B$21,C25*Premissas!$B$15*Premissas!$B$19/(Premissas!$B$21-A25),0)</f>
        <v/>
      </c>
      <c r="F25" s="46">
        <f>IF(A25&lt;Premissas!$B$21,Premissas!$B$12*INDEX(Premissas!$D$3:$D$32,A25+1),0)</f>
        <v/>
      </c>
      <c r="G25" s="46">
        <f>C25*Premissas!$B$24</f>
        <v/>
      </c>
      <c r="H25" s="46">
        <f>IF(A25=0,Premissas!$B$7*Premissas!$B$25*Premissas!$B$26,IF(A25&lt;=Premissas!$B$21,Premissas!$B$7*Premissas!$B$25*(1-Premissas!$B$26)/Premissas!$B$21,0))</f>
        <v/>
      </c>
      <c r="I25" s="46">
        <f>Premissas!$B$7*Premissas!$B$27/43</f>
        <v/>
      </c>
      <c r="J25" s="46">
        <f>D25*Premissas!$B$28</f>
        <v/>
      </c>
      <c r="K25" s="46">
        <f>Premissas!$B$7*Premissas!$B$29/43</f>
        <v/>
      </c>
      <c r="L25" s="46">
        <f>D25-F25-G25-H25-I25-J25-K25</f>
        <v/>
      </c>
      <c r="M25" s="46">
        <f>M24+L25</f>
        <v/>
      </c>
    </row>
    <row r="26" ht="15" customHeight="1" s="36">
      <c r="A26" s="40" t="n">
        <v>24</v>
      </c>
      <c r="B26" s="46">
        <f>B25-C25</f>
        <v/>
      </c>
      <c r="C26" s="46">
        <f>IF(A26&lt;=Premissas!$B$21,B26*Premissas!$B$18,B26/(43-A26))</f>
        <v/>
      </c>
      <c r="D26" s="46">
        <f>IF(A26&lt;Premissas!$B$21,SUM($E$2:E26),IF(A26=Premissas!$B$21,SUM($C$2:C25)*Premissas!$B$15*Premissas!$B$20+C26*Premissas!$B$15,C26*Premissas!$B$15))</f>
        <v/>
      </c>
      <c r="E26" s="46">
        <f>IF(A26&lt;Premissas!$B$21,C26*Premissas!$B$15*Premissas!$B$19/(Premissas!$B$21-A26),0)</f>
        <v/>
      </c>
      <c r="F26" s="46">
        <f>IF(A26&lt;Premissas!$B$21,Premissas!$B$12*INDEX(Premissas!$D$3:$D$32,A26+1),0)</f>
        <v/>
      </c>
      <c r="G26" s="46">
        <f>C26*Premissas!$B$24</f>
        <v/>
      </c>
      <c r="H26" s="46">
        <f>IF(A26=0,Premissas!$B$7*Premissas!$B$25*Premissas!$B$26,IF(A26&lt;=Premissas!$B$21,Premissas!$B$7*Premissas!$B$25*(1-Premissas!$B$26)/Premissas!$B$21,0))</f>
        <v/>
      </c>
      <c r="I26" s="46">
        <f>Premissas!$B$7*Premissas!$B$27/43</f>
        <v/>
      </c>
      <c r="J26" s="46">
        <f>D26*Premissas!$B$28</f>
        <v/>
      </c>
      <c r="K26" s="46">
        <f>Premissas!$B$7*Premissas!$B$29/43</f>
        <v/>
      </c>
      <c r="L26" s="46">
        <f>D26-F26-G26-H26-I26-J26-K26</f>
        <v/>
      </c>
      <c r="M26" s="46">
        <f>M25+L26</f>
        <v/>
      </c>
    </row>
    <row r="27" ht="15" customHeight="1" s="36">
      <c r="A27" s="40" t="n">
        <v>25</v>
      </c>
      <c r="B27" s="46">
        <f>B26-C26</f>
        <v/>
      </c>
      <c r="C27" s="46">
        <f>IF(A27&lt;=Premissas!$B$21,B27*Premissas!$B$18,B27/(43-A27))</f>
        <v/>
      </c>
      <c r="D27" s="46">
        <f>IF(A27&lt;Premissas!$B$21,SUM($E$2:E27),IF(A27=Premissas!$B$21,SUM($C$2:C26)*Premissas!$B$15*Premissas!$B$20+C27*Premissas!$B$15,C27*Premissas!$B$15))</f>
        <v/>
      </c>
      <c r="E27" s="46">
        <f>IF(A27&lt;Premissas!$B$21,C27*Premissas!$B$15*Premissas!$B$19/(Premissas!$B$21-A27),0)</f>
        <v/>
      </c>
      <c r="F27" s="46">
        <f>IF(A27&lt;Premissas!$B$21,Premissas!$B$12*INDEX(Premissas!$D$3:$D$32,A27+1),0)</f>
        <v/>
      </c>
      <c r="G27" s="46">
        <f>C27*Premissas!$B$24</f>
        <v/>
      </c>
      <c r="H27" s="46">
        <f>IF(A27=0,Premissas!$B$7*Premissas!$B$25*Premissas!$B$26,IF(A27&lt;=Premissas!$B$21,Premissas!$B$7*Premissas!$B$25*(1-Premissas!$B$26)/Premissas!$B$21,0))</f>
        <v/>
      </c>
      <c r="I27" s="46">
        <f>Premissas!$B$7*Premissas!$B$27/43</f>
        <v/>
      </c>
      <c r="J27" s="46">
        <f>D27*Premissas!$B$28</f>
        <v/>
      </c>
      <c r="K27" s="46">
        <f>Premissas!$B$7*Premissas!$B$29/43</f>
        <v/>
      </c>
      <c r="L27" s="46">
        <f>D27-F27-G27-H27-I27-J27-K27</f>
        <v/>
      </c>
      <c r="M27" s="46">
        <f>M26+L27</f>
        <v/>
      </c>
    </row>
    <row r="28" ht="15" customHeight="1" s="36">
      <c r="A28" s="40" t="n">
        <v>26</v>
      </c>
      <c r="B28" s="46">
        <f>B27-C27</f>
        <v/>
      </c>
      <c r="C28" s="46">
        <f>IF(A28&lt;=Premissas!$B$21,B28*Premissas!$B$18,B28/(43-A28))</f>
        <v/>
      </c>
      <c r="D28" s="46">
        <f>IF(A28&lt;Premissas!$B$21,SUM($E$2:E28),IF(A28=Premissas!$B$21,SUM($C$2:C27)*Premissas!$B$15*Premissas!$B$20+C28*Premissas!$B$15,C28*Premissas!$B$15))</f>
        <v/>
      </c>
      <c r="E28" s="46">
        <f>IF(A28&lt;Premissas!$B$21,C28*Premissas!$B$15*Premissas!$B$19/(Premissas!$B$21-A28),0)</f>
        <v/>
      </c>
      <c r="F28" s="46">
        <f>IF(A28&lt;Premissas!$B$21,Premissas!$B$12*INDEX(Premissas!$D$3:$D$32,A28+1),0)</f>
        <v/>
      </c>
      <c r="G28" s="46">
        <f>C28*Premissas!$B$24</f>
        <v/>
      </c>
      <c r="H28" s="46">
        <f>IF(A28=0,Premissas!$B$7*Premissas!$B$25*Premissas!$B$26,IF(A28&lt;=Premissas!$B$21,Premissas!$B$7*Premissas!$B$25*(1-Premissas!$B$26)/Premissas!$B$21,0))</f>
        <v/>
      </c>
      <c r="I28" s="46">
        <f>Premissas!$B$7*Premissas!$B$27/43</f>
        <v/>
      </c>
      <c r="J28" s="46">
        <f>D28*Premissas!$B$28</f>
        <v/>
      </c>
      <c r="K28" s="46">
        <f>Premissas!$B$7*Premissas!$B$29/43</f>
        <v/>
      </c>
      <c r="L28" s="46">
        <f>D28-F28-G28-H28-I28-J28-K28</f>
        <v/>
      </c>
      <c r="M28" s="46">
        <f>M27+L28</f>
        <v/>
      </c>
    </row>
    <row r="29" ht="15" customHeight="1" s="36">
      <c r="A29" s="40" t="n">
        <v>27</v>
      </c>
      <c r="B29" s="46">
        <f>B28-C28</f>
        <v/>
      </c>
      <c r="C29" s="46">
        <f>IF(A29&lt;=Premissas!$B$21,B29*Premissas!$B$18,B29/(43-A29))</f>
        <v/>
      </c>
      <c r="D29" s="46">
        <f>IF(A29&lt;Premissas!$B$21,SUM($E$2:E29),IF(A29=Premissas!$B$21,SUM($C$2:C28)*Premissas!$B$15*Premissas!$B$20+C29*Premissas!$B$15,C29*Premissas!$B$15))</f>
        <v/>
      </c>
      <c r="E29" s="46">
        <f>IF(A29&lt;Premissas!$B$21,C29*Premissas!$B$15*Premissas!$B$19/(Premissas!$B$21-A29),0)</f>
        <v/>
      </c>
      <c r="F29" s="46">
        <f>IF(A29&lt;Premissas!$B$21,Premissas!$B$12*INDEX(Premissas!$D$3:$D$32,A29+1),0)</f>
        <v/>
      </c>
      <c r="G29" s="46">
        <f>C29*Premissas!$B$24</f>
        <v/>
      </c>
      <c r="H29" s="46">
        <f>IF(A29=0,Premissas!$B$7*Premissas!$B$25*Premissas!$B$26,IF(A29&lt;=Premissas!$B$21,Premissas!$B$7*Premissas!$B$25*(1-Premissas!$B$26)/Premissas!$B$21,0))</f>
        <v/>
      </c>
      <c r="I29" s="46">
        <f>Premissas!$B$7*Premissas!$B$27/43</f>
        <v/>
      </c>
      <c r="J29" s="46">
        <f>D29*Premissas!$B$28</f>
        <v/>
      </c>
      <c r="K29" s="46">
        <f>Premissas!$B$7*Premissas!$B$29/43</f>
        <v/>
      </c>
      <c r="L29" s="46">
        <f>D29-F29-G29-H29-I29-J29-K29</f>
        <v/>
      </c>
      <c r="M29" s="46">
        <f>M28+L29</f>
        <v/>
      </c>
    </row>
    <row r="30" ht="15" customHeight="1" s="36">
      <c r="A30" s="40" t="n">
        <v>28</v>
      </c>
      <c r="B30" s="46">
        <f>B29-C29</f>
        <v/>
      </c>
      <c r="C30" s="46">
        <f>IF(A30&lt;=Premissas!$B$21,B30*Premissas!$B$18,B30/(43-A30))</f>
        <v/>
      </c>
      <c r="D30" s="46">
        <f>IF(A30&lt;Premissas!$B$21,SUM($E$2:E30),IF(A30=Premissas!$B$21,SUM($C$2:C29)*Premissas!$B$15*Premissas!$B$20+C30*Premissas!$B$15,C30*Premissas!$B$15))</f>
        <v/>
      </c>
      <c r="E30" s="46">
        <f>IF(A30&lt;Premissas!$B$21,C30*Premissas!$B$15*Premissas!$B$19/(Premissas!$B$21-A30),0)</f>
        <v/>
      </c>
      <c r="F30" s="46">
        <f>IF(A30&lt;Premissas!$B$21,Premissas!$B$12*INDEX(Premissas!$D$3:$D$32,A30+1),0)</f>
        <v/>
      </c>
      <c r="G30" s="46">
        <f>C30*Premissas!$B$24</f>
        <v/>
      </c>
      <c r="H30" s="46">
        <f>IF(A30=0,Premissas!$B$7*Premissas!$B$25*Premissas!$B$26,IF(A30&lt;=Premissas!$B$21,Premissas!$B$7*Premissas!$B$25*(1-Premissas!$B$26)/Premissas!$B$21,0))</f>
        <v/>
      </c>
      <c r="I30" s="46">
        <f>Premissas!$B$7*Premissas!$B$27/43</f>
        <v/>
      </c>
      <c r="J30" s="46">
        <f>D30*Premissas!$B$28</f>
        <v/>
      </c>
      <c r="K30" s="46">
        <f>Premissas!$B$7*Premissas!$B$29/43</f>
        <v/>
      </c>
      <c r="L30" s="46">
        <f>D30-F30-G30-H30-I30-J30-K30</f>
        <v/>
      </c>
      <c r="M30" s="46">
        <f>M29+L30</f>
        <v/>
      </c>
    </row>
    <row r="31" ht="15" customHeight="1" s="36">
      <c r="A31" s="40" t="n">
        <v>29</v>
      </c>
      <c r="B31" s="46">
        <f>B30-C30</f>
        <v/>
      </c>
      <c r="C31" s="46">
        <f>IF(A31&lt;=Premissas!$B$21,B31*Premissas!$B$18,B31/(43-A31))</f>
        <v/>
      </c>
      <c r="D31" s="46">
        <f>IF(A31&lt;Premissas!$B$21,SUM($E$2:E31),IF(A31=Premissas!$B$21,SUM($C$2:C30)*Premissas!$B$15*Premissas!$B$20+C31*Premissas!$B$15,C31*Premissas!$B$15))</f>
        <v/>
      </c>
      <c r="E31" s="46">
        <f>IF(A31&lt;Premissas!$B$21,C31*Premissas!$B$15*Premissas!$B$19/(Premissas!$B$21-A31),0)</f>
        <v/>
      </c>
      <c r="F31" s="46">
        <f>IF(A31&lt;Premissas!$B$21,Premissas!$B$12*INDEX(Premissas!$D$3:$D$32,A31+1),0)</f>
        <v/>
      </c>
      <c r="G31" s="46">
        <f>C31*Premissas!$B$24</f>
        <v/>
      </c>
      <c r="H31" s="46">
        <f>IF(A31=0,Premissas!$B$7*Premissas!$B$25*Premissas!$B$26,IF(A31&lt;=Premissas!$B$21,Premissas!$B$7*Premissas!$B$25*(1-Premissas!$B$26)/Premissas!$B$21,0))</f>
        <v/>
      </c>
      <c r="I31" s="46">
        <f>Premissas!$B$7*Premissas!$B$27/43</f>
        <v/>
      </c>
      <c r="J31" s="46">
        <f>D31*Premissas!$B$28</f>
        <v/>
      </c>
      <c r="K31" s="46">
        <f>Premissas!$B$7*Premissas!$B$29/43</f>
        <v/>
      </c>
      <c r="L31" s="46">
        <f>D31-F31-G31-H31-I31-J31-K31</f>
        <v/>
      </c>
      <c r="M31" s="46">
        <f>M30+L31</f>
        <v/>
      </c>
    </row>
    <row r="32" ht="15" customHeight="1" s="36">
      <c r="A32" s="40" t="n">
        <v>30</v>
      </c>
      <c r="B32" s="46">
        <f>B31-C31</f>
        <v/>
      </c>
      <c r="C32" s="46">
        <f>IF(A32&lt;=Premissas!$B$21,B32*Premissas!$B$18,B32/(43-A32))</f>
        <v/>
      </c>
      <c r="D32" s="46">
        <f>IF(A32&lt;Premissas!$B$21,SUM($E$2:E32),IF(A32=Premissas!$B$21,SUM($C$2:C31)*Premissas!$B$15*Premissas!$B$20+C32*Premissas!$B$15,C32*Premissas!$B$15))</f>
        <v/>
      </c>
      <c r="E32" s="46">
        <f>IF(A32&lt;Premissas!$B$21,C32*Premissas!$B$15*Premissas!$B$19/(Premissas!$B$21-A32),0)</f>
        <v/>
      </c>
      <c r="F32" s="46">
        <f>IF(A32&lt;Premissas!$B$21,Premissas!$B$12*INDEX(Premissas!$D$3:$D$32,A32+1),0)</f>
        <v/>
      </c>
      <c r="G32" s="46">
        <f>C32*Premissas!$B$24</f>
        <v/>
      </c>
      <c r="H32" s="46">
        <f>IF(A32=0,Premissas!$B$7*Premissas!$B$25*Premissas!$B$26,IF(A32&lt;=Premissas!$B$21,Premissas!$B$7*Premissas!$B$25*(1-Premissas!$B$26)/Premissas!$B$21,0))</f>
        <v/>
      </c>
      <c r="I32" s="46">
        <f>Premissas!$B$7*Premissas!$B$27/43</f>
        <v/>
      </c>
      <c r="J32" s="46">
        <f>D32*Premissas!$B$28</f>
        <v/>
      </c>
      <c r="K32" s="46">
        <f>Premissas!$B$7*Premissas!$B$29/43</f>
        <v/>
      </c>
      <c r="L32" s="46">
        <f>D32-F32-G32-H32-I32-J32-K32</f>
        <v/>
      </c>
      <c r="M32" s="46">
        <f>M31+L32</f>
        <v/>
      </c>
    </row>
    <row r="33" ht="15" customHeight="1" s="36">
      <c r="A33" s="40" t="n">
        <v>31</v>
      </c>
      <c r="B33" s="46">
        <f>B32-C32</f>
        <v/>
      </c>
      <c r="C33" s="46">
        <f>IF(A33&lt;=Premissas!$B$21,B33*Premissas!$B$18,B33/(43-A33))</f>
        <v/>
      </c>
      <c r="D33" s="46">
        <f>IF(A33&lt;Premissas!$B$21,SUM($E$2:E33),IF(A33=Premissas!$B$21,SUM($C$2:C32)*Premissas!$B$15*Premissas!$B$20+C33*Premissas!$B$15,C33*Premissas!$B$15))</f>
        <v/>
      </c>
      <c r="E33" s="46">
        <f>IF(A33&lt;Premissas!$B$21,C33*Premissas!$B$15*Premissas!$B$19/(Premissas!$B$21-A33),0)</f>
        <v/>
      </c>
      <c r="F33" s="46">
        <f>IF(A33&lt;Premissas!$B$21,Premissas!$B$12*INDEX(Premissas!$D$3:$D$32,A33+1),0)</f>
        <v/>
      </c>
      <c r="G33" s="46">
        <f>C33*Premissas!$B$24</f>
        <v/>
      </c>
      <c r="H33" s="46">
        <f>IF(A33=0,Premissas!$B$7*Premissas!$B$25*Premissas!$B$26,IF(A33&lt;=Premissas!$B$21,Premissas!$B$7*Premissas!$B$25*(1-Premissas!$B$26)/Premissas!$B$21,0))</f>
        <v/>
      </c>
      <c r="I33" s="46">
        <f>Premissas!$B$7*Premissas!$B$27/43</f>
        <v/>
      </c>
      <c r="J33" s="46">
        <f>D33*Premissas!$B$28</f>
        <v/>
      </c>
      <c r="K33" s="46">
        <f>Premissas!$B$7*Premissas!$B$29/43</f>
        <v/>
      </c>
      <c r="L33" s="46">
        <f>D33-F33-G33-H33-I33-J33-K33</f>
        <v/>
      </c>
      <c r="M33" s="46">
        <f>M32+L33</f>
        <v/>
      </c>
    </row>
    <row r="34" ht="15" customHeight="1" s="36">
      <c r="A34" s="40" t="n">
        <v>32</v>
      </c>
      <c r="B34" s="46">
        <f>B33-C33</f>
        <v/>
      </c>
      <c r="C34" s="46">
        <f>IF(A34&lt;=Premissas!$B$21,B34*Premissas!$B$18,B34/(43-A34))</f>
        <v/>
      </c>
      <c r="D34" s="46">
        <f>IF(A34&lt;Premissas!$B$21,SUM($E$2:E34),IF(A34=Premissas!$B$21,SUM($C$2:C33)*Premissas!$B$15*Premissas!$B$20+C34*Premissas!$B$15,C34*Premissas!$B$15))</f>
        <v/>
      </c>
      <c r="E34" s="46">
        <f>IF(A34&lt;Premissas!$B$21,C34*Premissas!$B$15*Premissas!$B$19/(Premissas!$B$21-A34),0)</f>
        <v/>
      </c>
      <c r="F34" s="46">
        <f>IF(A34&lt;Premissas!$B$21,Premissas!$B$12*INDEX(Premissas!$D$3:$D$32,A34+1),0)</f>
        <v/>
      </c>
      <c r="G34" s="46">
        <f>C34*Premissas!$B$24</f>
        <v/>
      </c>
      <c r="H34" s="46">
        <f>IF(A34=0,Premissas!$B$7*Premissas!$B$25*Premissas!$B$26,IF(A34&lt;=Premissas!$B$21,Premissas!$B$7*Premissas!$B$25*(1-Premissas!$B$26)/Premissas!$B$21,0))</f>
        <v/>
      </c>
      <c r="I34" s="46">
        <f>Premissas!$B$7*Premissas!$B$27/43</f>
        <v/>
      </c>
      <c r="J34" s="46">
        <f>D34*Premissas!$B$28</f>
        <v/>
      </c>
      <c r="K34" s="46">
        <f>Premissas!$B$7*Premissas!$B$29/43</f>
        <v/>
      </c>
      <c r="L34" s="46">
        <f>D34-F34-G34-H34-I34-J34-K34</f>
        <v/>
      </c>
      <c r="M34" s="46">
        <f>M33+L34</f>
        <v/>
      </c>
    </row>
    <row r="35" ht="15" customHeight="1" s="36">
      <c r="A35" s="40" t="n">
        <v>33</v>
      </c>
      <c r="B35" s="46">
        <f>B34-C34</f>
        <v/>
      </c>
      <c r="C35" s="46">
        <f>IF(A35&lt;=Premissas!$B$21,B35*Premissas!$B$18,B35/(43-A35))</f>
        <v/>
      </c>
      <c r="D35" s="46">
        <f>IF(A35&lt;Premissas!$B$21,SUM($E$2:E35),IF(A35=Premissas!$B$21,SUM($C$2:C34)*Premissas!$B$15*Premissas!$B$20+C35*Premissas!$B$15,C35*Premissas!$B$15))</f>
        <v/>
      </c>
      <c r="E35" s="46">
        <f>IF(A35&lt;Premissas!$B$21,C35*Premissas!$B$15*Premissas!$B$19/(Premissas!$B$21-A35),0)</f>
        <v/>
      </c>
      <c r="F35" s="46">
        <f>IF(A35&lt;Premissas!$B$21,Premissas!$B$12*INDEX(Premissas!$D$3:$D$32,A35+1),0)</f>
        <v/>
      </c>
      <c r="G35" s="46">
        <f>C35*Premissas!$B$24</f>
        <v/>
      </c>
      <c r="H35" s="46">
        <f>IF(A35=0,Premissas!$B$7*Premissas!$B$25*Premissas!$B$26,IF(A35&lt;=Premissas!$B$21,Premissas!$B$7*Premissas!$B$25*(1-Premissas!$B$26)/Premissas!$B$21,0))</f>
        <v/>
      </c>
      <c r="I35" s="46">
        <f>Premissas!$B$7*Premissas!$B$27/43</f>
        <v/>
      </c>
      <c r="J35" s="46">
        <f>D35*Premissas!$B$28</f>
        <v/>
      </c>
      <c r="K35" s="46">
        <f>Premissas!$B$7*Premissas!$B$29/43</f>
        <v/>
      </c>
      <c r="L35" s="46">
        <f>D35-F35-G35-H35-I35-J35-K35</f>
        <v/>
      </c>
      <c r="M35" s="46">
        <f>M34+L35</f>
        <v/>
      </c>
    </row>
    <row r="36" ht="15" customHeight="1" s="36">
      <c r="A36" s="40" t="n">
        <v>34</v>
      </c>
      <c r="B36" s="46">
        <f>B35-C35</f>
        <v/>
      </c>
      <c r="C36" s="46">
        <f>IF(A36&lt;=Premissas!$B$21,B36*Premissas!$B$18,B36/(43-A36))</f>
        <v/>
      </c>
      <c r="D36" s="46">
        <f>IF(A36&lt;Premissas!$B$21,SUM($E$2:E36),IF(A36=Premissas!$B$21,SUM($C$2:C35)*Premissas!$B$15*Premissas!$B$20+C36*Premissas!$B$15,C36*Premissas!$B$15))</f>
        <v/>
      </c>
      <c r="E36" s="46">
        <f>IF(A36&lt;Premissas!$B$21,C36*Premissas!$B$15*Premissas!$B$19/(Premissas!$B$21-A36),0)</f>
        <v/>
      </c>
      <c r="F36" s="46">
        <f>IF(A36&lt;Premissas!$B$21,Premissas!$B$12*INDEX(Premissas!$D$3:$D$32,A36+1),0)</f>
        <v/>
      </c>
      <c r="G36" s="46">
        <f>C36*Premissas!$B$24</f>
        <v/>
      </c>
      <c r="H36" s="46">
        <f>IF(A36=0,Premissas!$B$7*Premissas!$B$25*Premissas!$B$26,IF(A36&lt;=Premissas!$B$21,Premissas!$B$7*Premissas!$B$25*(1-Premissas!$B$26)/Premissas!$B$21,0))</f>
        <v/>
      </c>
      <c r="I36" s="46">
        <f>Premissas!$B$7*Premissas!$B$27/43</f>
        <v/>
      </c>
      <c r="J36" s="46">
        <f>D36*Premissas!$B$28</f>
        <v/>
      </c>
      <c r="K36" s="46">
        <f>Premissas!$B$7*Premissas!$B$29/43</f>
        <v/>
      </c>
      <c r="L36" s="46">
        <f>D36-F36-G36-H36-I36-J36-K36</f>
        <v/>
      </c>
      <c r="M36" s="46">
        <f>M35+L36</f>
        <v/>
      </c>
    </row>
    <row r="37" ht="15" customHeight="1" s="36">
      <c r="A37" s="40" t="n">
        <v>35</v>
      </c>
      <c r="B37" s="46">
        <f>B36-C36</f>
        <v/>
      </c>
      <c r="C37" s="46">
        <f>IF(A37&lt;=Premissas!$B$21,B37*Premissas!$B$18,B37/(43-A37))</f>
        <v/>
      </c>
      <c r="D37" s="46">
        <f>IF(A37&lt;Premissas!$B$21,SUM($E$2:E37),IF(A37=Premissas!$B$21,SUM($C$2:C36)*Premissas!$B$15*Premissas!$B$20+C37*Premissas!$B$15,C37*Premissas!$B$15))</f>
        <v/>
      </c>
      <c r="E37" s="46">
        <f>IF(A37&lt;Premissas!$B$21,C37*Premissas!$B$15*Premissas!$B$19/(Premissas!$B$21-A37),0)</f>
        <v/>
      </c>
      <c r="F37" s="46">
        <f>IF(A37&lt;Premissas!$B$21,Premissas!$B$12*INDEX(Premissas!$D$3:$D$32,A37+1),0)</f>
        <v/>
      </c>
      <c r="G37" s="46">
        <f>C37*Premissas!$B$24</f>
        <v/>
      </c>
      <c r="H37" s="46">
        <f>IF(A37=0,Premissas!$B$7*Premissas!$B$25*Premissas!$B$26,IF(A37&lt;=Premissas!$B$21,Premissas!$B$7*Premissas!$B$25*(1-Premissas!$B$26)/Premissas!$B$21,0))</f>
        <v/>
      </c>
      <c r="I37" s="46">
        <f>Premissas!$B$7*Premissas!$B$27/43</f>
        <v/>
      </c>
      <c r="J37" s="46">
        <f>D37*Premissas!$B$28</f>
        <v/>
      </c>
      <c r="K37" s="46">
        <f>Premissas!$B$7*Premissas!$B$29/43</f>
        <v/>
      </c>
      <c r="L37" s="46">
        <f>D37-F37-G37-H37-I37-J37-K37</f>
        <v/>
      </c>
      <c r="M37" s="46">
        <f>M36+L37</f>
        <v/>
      </c>
    </row>
    <row r="38" ht="15" customHeight="1" s="36">
      <c r="A38" s="40" t="n">
        <v>36</v>
      </c>
      <c r="B38" s="46">
        <f>B37-C37</f>
        <v/>
      </c>
      <c r="C38" s="46">
        <f>IF(A38&lt;=Premissas!$B$21,B38*Premissas!$B$18,B38/(43-A38))</f>
        <v/>
      </c>
      <c r="D38" s="46">
        <f>IF(A38&lt;Premissas!$B$21,SUM($E$2:E38),IF(A38=Premissas!$B$21,SUM($C$2:C37)*Premissas!$B$15*Premissas!$B$20+C38*Premissas!$B$15,C38*Premissas!$B$15))</f>
        <v/>
      </c>
      <c r="E38" s="46">
        <f>IF(A38&lt;Premissas!$B$21,C38*Premissas!$B$15*Premissas!$B$19/(Premissas!$B$21-A38),0)</f>
        <v/>
      </c>
      <c r="F38" s="46">
        <f>IF(A38&lt;Premissas!$B$21,Premissas!$B$12*INDEX(Premissas!$D$3:$D$32,A38+1),0)</f>
        <v/>
      </c>
      <c r="G38" s="46">
        <f>C38*Premissas!$B$24</f>
        <v/>
      </c>
      <c r="H38" s="46">
        <f>IF(A38=0,Premissas!$B$7*Premissas!$B$25*Premissas!$B$26,IF(A38&lt;=Premissas!$B$21,Premissas!$B$7*Premissas!$B$25*(1-Premissas!$B$26)/Premissas!$B$21,0))</f>
        <v/>
      </c>
      <c r="I38" s="46">
        <f>Premissas!$B$7*Premissas!$B$27/43</f>
        <v/>
      </c>
      <c r="J38" s="46">
        <f>D38*Premissas!$B$28</f>
        <v/>
      </c>
      <c r="K38" s="46">
        <f>Premissas!$B$7*Premissas!$B$29/43</f>
        <v/>
      </c>
      <c r="L38" s="46">
        <f>D38-F38-G38-H38-I38-J38-K38</f>
        <v/>
      </c>
      <c r="M38" s="46">
        <f>M37+L38</f>
        <v/>
      </c>
    </row>
    <row r="39" ht="15" customHeight="1" s="36">
      <c r="A39" s="40" t="n">
        <v>37</v>
      </c>
      <c r="B39" s="46">
        <f>B38-C38</f>
        <v/>
      </c>
      <c r="C39" s="46">
        <f>IF(A39&lt;=Premissas!$B$21,B39*Premissas!$B$18,B39/(43-A39))</f>
        <v/>
      </c>
      <c r="D39" s="46">
        <f>IF(A39&lt;Premissas!$B$21,SUM($E$2:E39),IF(A39=Premissas!$B$21,SUM($C$2:C38)*Premissas!$B$15*Premissas!$B$20+C39*Premissas!$B$15,C39*Premissas!$B$15))</f>
        <v/>
      </c>
      <c r="E39" s="46">
        <f>IF(A39&lt;Premissas!$B$21,C39*Premissas!$B$15*Premissas!$B$19/(Premissas!$B$21-A39),0)</f>
        <v/>
      </c>
      <c r="F39" s="46">
        <f>IF(A39&lt;Premissas!$B$21,Premissas!$B$12*INDEX(Premissas!$D$3:$D$32,A39+1),0)</f>
        <v/>
      </c>
      <c r="G39" s="46">
        <f>C39*Premissas!$B$24</f>
        <v/>
      </c>
      <c r="H39" s="46">
        <f>IF(A39=0,Premissas!$B$7*Premissas!$B$25*Premissas!$B$26,IF(A39&lt;=Premissas!$B$21,Premissas!$B$7*Premissas!$B$25*(1-Premissas!$B$26)/Premissas!$B$21,0))</f>
        <v/>
      </c>
      <c r="I39" s="46">
        <f>Premissas!$B$7*Premissas!$B$27/43</f>
        <v/>
      </c>
      <c r="J39" s="46">
        <f>D39*Premissas!$B$28</f>
        <v/>
      </c>
      <c r="K39" s="46">
        <f>Premissas!$B$7*Premissas!$B$29/43</f>
        <v/>
      </c>
      <c r="L39" s="46">
        <f>D39-F39-G39-H39-I39-J39-K39</f>
        <v/>
      </c>
      <c r="M39" s="46">
        <f>M38+L39</f>
        <v/>
      </c>
    </row>
    <row r="40" ht="15" customHeight="1" s="36">
      <c r="A40" s="40" t="n">
        <v>38</v>
      </c>
      <c r="B40" s="46">
        <f>B39-C39</f>
        <v/>
      </c>
      <c r="C40" s="46">
        <f>IF(A40&lt;=Premissas!$B$21,B40*Premissas!$B$18,B40/(43-A40))</f>
        <v/>
      </c>
      <c r="D40" s="46">
        <f>IF(A40&lt;Premissas!$B$21,SUM($E$2:E40),IF(A40=Premissas!$B$21,SUM($C$2:C39)*Premissas!$B$15*Premissas!$B$20+C40*Premissas!$B$15,C40*Premissas!$B$15))</f>
        <v/>
      </c>
      <c r="E40" s="46">
        <f>IF(A40&lt;Premissas!$B$21,C40*Premissas!$B$15*Premissas!$B$19/(Premissas!$B$21-A40),0)</f>
        <v/>
      </c>
      <c r="F40" s="46">
        <f>IF(A40&lt;Premissas!$B$21,Premissas!$B$12*INDEX(Premissas!$D$3:$D$32,A40+1),0)</f>
        <v/>
      </c>
      <c r="G40" s="46">
        <f>C40*Premissas!$B$24</f>
        <v/>
      </c>
      <c r="H40" s="46">
        <f>IF(A40=0,Premissas!$B$7*Premissas!$B$25*Premissas!$B$26,IF(A40&lt;=Premissas!$B$21,Premissas!$B$7*Premissas!$B$25*(1-Premissas!$B$26)/Premissas!$B$21,0))</f>
        <v/>
      </c>
      <c r="I40" s="46">
        <f>Premissas!$B$7*Premissas!$B$27/43</f>
        <v/>
      </c>
      <c r="J40" s="46">
        <f>D40*Premissas!$B$28</f>
        <v/>
      </c>
      <c r="K40" s="46">
        <f>Premissas!$B$7*Premissas!$B$29/43</f>
        <v/>
      </c>
      <c r="L40" s="46">
        <f>D40-F40-G40-H40-I40-J40-K40</f>
        <v/>
      </c>
      <c r="M40" s="46">
        <f>M39+L40</f>
        <v/>
      </c>
    </row>
    <row r="41" ht="15" customHeight="1" s="36">
      <c r="A41" s="40" t="n">
        <v>39</v>
      </c>
      <c r="B41" s="46">
        <f>B40-C40</f>
        <v/>
      </c>
      <c r="C41" s="46">
        <f>IF(A41&lt;=Premissas!$B$21,B41*Premissas!$B$18,B41/(43-A41))</f>
        <v/>
      </c>
      <c r="D41" s="46">
        <f>IF(A41&lt;Premissas!$B$21,SUM($E$2:E41),IF(A41=Premissas!$B$21,SUM($C$2:C40)*Premissas!$B$15*Premissas!$B$20+C41*Premissas!$B$15,C41*Premissas!$B$15))</f>
        <v/>
      </c>
      <c r="E41" s="46">
        <f>IF(A41&lt;Premissas!$B$21,C41*Premissas!$B$15*Premissas!$B$19/(Premissas!$B$21-A41),0)</f>
        <v/>
      </c>
      <c r="F41" s="46">
        <f>IF(A41&lt;Premissas!$B$21,Premissas!$B$12*INDEX(Premissas!$D$3:$D$32,A41+1),0)</f>
        <v/>
      </c>
      <c r="G41" s="46">
        <f>C41*Premissas!$B$24</f>
        <v/>
      </c>
      <c r="H41" s="46">
        <f>IF(A41=0,Premissas!$B$7*Premissas!$B$25*Premissas!$B$26,IF(A41&lt;=Premissas!$B$21,Premissas!$B$7*Premissas!$B$25*(1-Premissas!$B$26)/Premissas!$B$21,0))</f>
        <v/>
      </c>
      <c r="I41" s="46">
        <f>Premissas!$B$7*Premissas!$B$27/43</f>
        <v/>
      </c>
      <c r="J41" s="46">
        <f>D41*Premissas!$B$28</f>
        <v/>
      </c>
      <c r="K41" s="46">
        <f>Premissas!$B$7*Premissas!$B$29/43</f>
        <v/>
      </c>
      <c r="L41" s="46">
        <f>D41-F41-G41-H41-I41-J41-K41</f>
        <v/>
      </c>
      <c r="M41" s="46">
        <f>M40+L41</f>
        <v/>
      </c>
    </row>
    <row r="42" ht="15" customHeight="1" s="36">
      <c r="A42" s="40" t="n">
        <v>40</v>
      </c>
      <c r="B42" s="46">
        <f>B41-C41</f>
        <v/>
      </c>
      <c r="C42" s="46">
        <f>IF(A42&lt;=Premissas!$B$21,B42*Premissas!$B$18,B42/(43-A42))</f>
        <v/>
      </c>
      <c r="D42" s="46">
        <f>IF(A42&lt;Premissas!$B$21,SUM($E$2:E42),IF(A42=Premissas!$B$21,SUM($C$2:C41)*Premissas!$B$15*Premissas!$B$20+C42*Premissas!$B$15,C42*Premissas!$B$15))</f>
        <v/>
      </c>
      <c r="E42" s="46">
        <f>IF(A42&lt;Premissas!$B$21,C42*Premissas!$B$15*Premissas!$B$19/(Premissas!$B$21-A42),0)</f>
        <v/>
      </c>
      <c r="F42" s="46">
        <f>IF(A42&lt;Premissas!$B$21,Premissas!$B$12*INDEX(Premissas!$D$3:$D$32,A42+1),0)</f>
        <v/>
      </c>
      <c r="G42" s="46">
        <f>C42*Premissas!$B$24</f>
        <v/>
      </c>
      <c r="H42" s="46">
        <f>IF(A42=0,Premissas!$B$7*Premissas!$B$25*Premissas!$B$26,IF(A42&lt;=Premissas!$B$21,Premissas!$B$7*Premissas!$B$25*(1-Premissas!$B$26)/Premissas!$B$21,0))</f>
        <v/>
      </c>
      <c r="I42" s="46">
        <f>Premissas!$B$7*Premissas!$B$27/43</f>
        <v/>
      </c>
      <c r="J42" s="46">
        <f>D42*Premissas!$B$28</f>
        <v/>
      </c>
      <c r="K42" s="46">
        <f>Premissas!$B$7*Premissas!$B$29/43</f>
        <v/>
      </c>
      <c r="L42" s="46">
        <f>D42-F42-G42-H42-I42-J42-K42</f>
        <v/>
      </c>
      <c r="M42" s="46">
        <f>M41+L42</f>
        <v/>
      </c>
    </row>
    <row r="43" ht="15" customHeight="1" s="36">
      <c r="A43" s="40" t="n">
        <v>41</v>
      </c>
      <c r="B43" s="46">
        <f>B42-C42</f>
        <v/>
      </c>
      <c r="C43" s="46">
        <f>IF(A43&lt;=Premissas!$B$21,B43*Premissas!$B$18,B43/(43-A43))</f>
        <v/>
      </c>
      <c r="D43" s="46">
        <f>IF(A43&lt;Premissas!$B$21,SUM($E$2:E43),IF(A43=Premissas!$B$21,SUM($C$2:C42)*Premissas!$B$15*Premissas!$B$20+C43*Premissas!$B$15,C43*Premissas!$B$15))</f>
        <v/>
      </c>
      <c r="E43" s="46">
        <f>IF(A43&lt;Premissas!$B$21,C43*Premissas!$B$15*Premissas!$B$19/(Premissas!$B$21-A43),0)</f>
        <v/>
      </c>
      <c r="F43" s="46">
        <f>IF(A43&lt;Premissas!$B$21,Premissas!$B$12*INDEX(Premissas!$D$3:$D$32,A43+1),0)</f>
        <v/>
      </c>
      <c r="G43" s="46">
        <f>C43*Premissas!$B$24</f>
        <v/>
      </c>
      <c r="H43" s="46">
        <f>IF(A43=0,Premissas!$B$7*Premissas!$B$25*Premissas!$B$26,IF(A43&lt;=Premissas!$B$21,Premissas!$B$7*Premissas!$B$25*(1-Premissas!$B$26)/Premissas!$B$21,0))</f>
        <v/>
      </c>
      <c r="I43" s="46">
        <f>Premissas!$B$7*Premissas!$B$27/43</f>
        <v/>
      </c>
      <c r="J43" s="46">
        <f>D43*Premissas!$B$28</f>
        <v/>
      </c>
      <c r="K43" s="46">
        <f>Premissas!$B$7*Premissas!$B$29/43</f>
        <v/>
      </c>
      <c r="L43" s="46">
        <f>D43-F43-G43-H43-I43-J43-K43</f>
        <v/>
      </c>
      <c r="M43" s="46">
        <f>M42+L43</f>
        <v/>
      </c>
    </row>
    <row r="44" ht="15" customHeight="1" s="36">
      <c r="A44" s="40" t="n">
        <v>42</v>
      </c>
      <c r="B44" s="46">
        <f>B43-C43</f>
        <v/>
      </c>
      <c r="C44" s="46">
        <f>IF(A44&lt;=Premissas!$B$21,B44*Premissas!$B$18,B44/(43-A44))</f>
        <v/>
      </c>
      <c r="D44" s="46">
        <f>IF(A44&lt;Premissas!$B$21,SUM($E$2:E44),IF(A44=Premissas!$B$21,SUM($C$2:C43)*Premissas!$B$15*Premissas!$B$20+C44*Premissas!$B$15,C44*Premissas!$B$15))</f>
        <v/>
      </c>
      <c r="E44" s="46">
        <f>IF(A44&lt;Premissas!$B$21,C44*Premissas!$B$15*Premissas!$B$19/(Premissas!$B$21-A44),0)</f>
        <v/>
      </c>
      <c r="F44" s="46">
        <f>IF(A44&lt;Premissas!$B$21,Premissas!$B$12*INDEX(Premissas!$D$3:$D$32,A44+1),0)</f>
        <v/>
      </c>
      <c r="G44" s="46">
        <f>C44*Premissas!$B$24</f>
        <v/>
      </c>
      <c r="H44" s="46">
        <f>IF(A44=0,Premissas!$B$7*Premissas!$B$25*Premissas!$B$26,IF(A44&lt;=Premissas!$B$21,Premissas!$B$7*Premissas!$B$25*(1-Premissas!$B$26)/Premissas!$B$21,0))</f>
        <v/>
      </c>
      <c r="I44" s="46">
        <f>Premissas!$B$7*Premissas!$B$27/43</f>
        <v/>
      </c>
      <c r="J44" s="46">
        <f>D44*Premissas!$B$28</f>
        <v/>
      </c>
      <c r="K44" s="46">
        <f>Premissas!$B$7*Premissas!$B$29/43</f>
        <v/>
      </c>
      <c r="L44" s="46">
        <f>D44-F44-G44-H44-I44-J44-K44</f>
        <v/>
      </c>
      <c r="M44" s="46">
        <f>M43+L44</f>
        <v/>
      </c>
    </row>
    <row r="47" ht="15" customHeight="1" s="36">
      <c r="A47" s="52" t="inlineStr">
        <is>
          <t>RESULTADO (R$)</t>
        </is>
      </c>
      <c r="B47" s="53">
        <f>SUM(L2:L44)</f>
        <v/>
      </c>
    </row>
    <row r="48" ht="15" customHeight="1" s="36">
      <c r="A48" s="52" t="inlineStr">
        <is>
          <t>Margem s/ VGV</t>
        </is>
      </c>
      <c r="B48" s="50">
        <f>B47/Premissas!$B$7</f>
        <v/>
      </c>
    </row>
    <row r="49" ht="15" customHeight="1" s="36">
      <c r="A49" s="52" t="inlineStr">
        <is>
          <t>Exposição máxima (R$)</t>
        </is>
      </c>
      <c r="B49" s="53">
        <f>-MIN(M2:M44)</f>
        <v/>
      </c>
    </row>
    <row r="50" ht="15" customHeight="1" s="36">
      <c r="A50" s="52" t="inlineStr">
        <is>
          <t>Mês do pico</t>
        </is>
      </c>
      <c r="B50" s="39">
        <f>MATCH(MIN(M2:M44),M2:M44,0)-1</f>
        <v/>
      </c>
    </row>
    <row r="51" ht="15" customHeight="1" s="36">
      <c r="A51" s="52" t="inlineStr">
        <is>
          <t>Payback (mês)</t>
        </is>
      </c>
      <c r="B51" s="39">
        <f>COUNTIF(M2:M44,"&lt;0")</f>
        <v/>
      </c>
    </row>
    <row r="52" ht="15" customHeight="1" s="36">
      <c r="A52" s="52" t="inlineStr">
        <is>
          <t>TIR mensal</t>
        </is>
      </c>
      <c r="B52" s="54">
        <f>IRR(L2:L44,0.02)</f>
        <v/>
      </c>
    </row>
    <row r="53" ht="15" customHeight="1" s="36">
      <c r="A53" s="52" t="inlineStr">
        <is>
          <t>TIR anual</t>
        </is>
      </c>
      <c r="B53" s="50">
        <f>(1+B52)^12-1</f>
        <v/>
      </c>
    </row>
    <row r="55" ht="15" customHeight="1" s="36">
      <c r="A55" s="55" t="inlineStr">
        <is>
          <t>Confere com o modelo committado (specs/qc01-lote21-viabilidade-modelo.py): resultado ~R$25,2M · 24,0% · exposição ~R$34,3M (M25) · TIR ~33% a.a.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K1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0" customWidth="1" style="35" min="1" max="1"/>
    <col width="15" customWidth="1" style="35" min="2" max="11"/>
  </cols>
  <sheetData>
    <row r="1" ht="16.15" customHeight="1" s="36">
      <c r="A1" s="37" t="inlineStr">
        <is>
          <t>AS 5 CONFIGURAÇÕES NA MESMA RÉGUA</t>
        </is>
      </c>
    </row>
    <row r="2" ht="15" customHeight="1" s="36">
      <c r="A2" s="38" t="inlineStr">
        <is>
          <t>Preço fixo (core 1,0 M · Sky 1,5 M). VGV/obra/resultado por fórmula; TIR e exposição medidas no modelo mensal (--comparar).</t>
        </is>
      </c>
    </row>
    <row r="4" ht="15" customHeight="1" s="36">
      <c r="A4" s="51" t="inlineStr">
        <is>
          <t>Configuração</t>
        </is>
      </c>
      <c r="B4" s="51" t="inlineStr">
        <is>
          <t>Core</t>
        </is>
      </c>
      <c r="C4" s="51" t="inlineStr">
        <is>
          <t>Sky</t>
        </is>
      </c>
      <c r="D4" s="51" t="inlineStr">
        <is>
          <t>Custo/m²</t>
        </is>
      </c>
      <c r="E4" s="51" t="inlineStr">
        <is>
          <t>Meses obra</t>
        </is>
      </c>
      <c r="F4" s="51" t="inlineStr">
        <is>
          <t>VGV (R$)</t>
        </is>
      </c>
      <c r="G4" s="51" t="inlineStr">
        <is>
          <t>Obra (R$)</t>
        </is>
      </c>
      <c r="H4" s="51" t="inlineStr">
        <is>
          <t>Resultado (R$)</t>
        </is>
      </c>
      <c r="I4" s="51" t="inlineStr">
        <is>
          <t>Margem</t>
        </is>
      </c>
      <c r="J4" s="51" t="inlineStr">
        <is>
          <t>TIR a.a.¹</t>
        </is>
      </c>
      <c r="K4" s="51" t="inlineStr">
        <is>
          <t>Exposição¹ (R$)</t>
        </is>
      </c>
    </row>
    <row r="5" ht="15" customHeight="1" s="36">
      <c r="A5" s="40" t="inlineStr">
        <is>
          <t>v1 — 25 pav · ~90 m</t>
        </is>
      </c>
      <c r="B5" s="41" t="n">
        <v>100</v>
      </c>
      <c r="C5" s="41" t="n">
        <v>4</v>
      </c>
      <c r="D5" s="45" t="n">
        <v>3200</v>
      </c>
      <c r="E5" s="41" t="n">
        <v>29</v>
      </c>
      <c r="F5" s="56">
        <f>B5*1000000+C5*1500000</f>
        <v/>
      </c>
      <c r="G5" s="56">
        <f>(B5*108+C5*160)*1.39*D5</f>
        <v/>
      </c>
      <c r="H5" s="56">
        <f>F5*(1-0.12-0.03-0.04-0.05)-G5-F5*0.04-F5*0.88*0.04</f>
        <v/>
      </c>
      <c r="I5" s="57">
        <f>H5/F5</f>
        <v/>
      </c>
      <c r="J5" s="57" t="n">
        <v>0.34</v>
      </c>
      <c r="K5" s="56" t="n">
        <v>34600000</v>
      </c>
    </row>
    <row r="6" ht="15" customHeight="1" s="36">
      <c r="A6" s="40" t="inlineStr">
        <is>
          <t>Altezza 27 — pior caso CA</t>
        </is>
      </c>
      <c r="B6" s="41" t="n">
        <v>80</v>
      </c>
      <c r="C6" s="41" t="n">
        <v>14</v>
      </c>
      <c r="D6" s="45" t="n">
        <v>3200</v>
      </c>
      <c r="E6" s="41" t="n">
        <v>30</v>
      </c>
      <c r="F6" s="56">
        <f>B6*1000000+C6*1500000</f>
        <v/>
      </c>
      <c r="G6" s="56">
        <f>(B6*108+C6*160)*1.39*D6</f>
        <v/>
      </c>
      <c r="H6" s="56">
        <f>F6*(1-0.12-0.03-0.04-0.05)-G6-F6*0.04-F6*0.88*0.04</f>
        <v/>
      </c>
      <c r="I6" s="57">
        <f>H6/F6</f>
        <v/>
      </c>
      <c r="J6" s="57" t="n">
        <v>0.33</v>
      </c>
      <c r="K6" s="56" t="n">
        <v>33000000</v>
      </c>
    </row>
    <row r="7" ht="15" customHeight="1" s="36">
      <c r="A7" s="52" t="inlineStr">
        <is>
          <t>ALTEZZA 29 — o projeto</t>
        </is>
      </c>
      <c r="B7" s="58" t="n">
        <v>84</v>
      </c>
      <c r="C7" s="58" t="n">
        <v>14</v>
      </c>
      <c r="D7" s="59" t="n">
        <v>3200</v>
      </c>
      <c r="E7" s="58" t="n">
        <v>30</v>
      </c>
      <c r="F7" s="60">
        <f>B7*1000000+C7*1500000</f>
        <v/>
      </c>
      <c r="G7" s="60">
        <f>(B7*108+C7*160)*1.39*D7</f>
        <v/>
      </c>
      <c r="H7" s="60">
        <f>F7*(1-0.12-0.03-0.04-0.05)-G7-F7*0.04-F7*0.88*0.04</f>
        <v/>
      </c>
      <c r="I7" s="61">
        <f>H7/F7</f>
        <v/>
      </c>
      <c r="J7" s="61" t="n">
        <v>0.33</v>
      </c>
      <c r="K7" s="60" t="n">
        <v>34300000</v>
      </c>
    </row>
    <row r="8" ht="15" customHeight="1" s="36">
      <c r="A8" s="40" t="inlineStr">
        <is>
          <t>CA 5,0 eficiente — 34 níveis</t>
        </is>
      </c>
      <c r="B8" s="41" t="n">
        <v>120</v>
      </c>
      <c r="C8" s="41" t="n">
        <v>4</v>
      </c>
      <c r="D8" s="45" t="n">
        <v>3250</v>
      </c>
      <c r="E8" s="41" t="n">
        <v>32</v>
      </c>
      <c r="F8" s="56">
        <f>B8*1000000+C8*1500000</f>
        <v/>
      </c>
      <c r="G8" s="56">
        <f>(B8*108+C8*160)*1.39*D8</f>
        <v/>
      </c>
      <c r="H8" s="56">
        <f>F8*(1-0.12-0.03-0.04-0.05)-G8-F8*0.04-F8*0.88*0.04</f>
        <v/>
      </c>
      <c r="I8" s="57">
        <f>H8/F8</f>
        <v/>
      </c>
      <c r="J8" s="57" t="n">
        <v>0.3</v>
      </c>
      <c r="K8" s="56" t="n">
        <v>41300000</v>
      </c>
    </row>
    <row r="9" ht="15" customHeight="1" s="36">
      <c r="A9" s="40" t="inlineStr">
        <is>
          <t>Coroa CA 5,0 — recorde ~140 m</t>
        </is>
      </c>
      <c r="B9" s="41" t="n">
        <v>96</v>
      </c>
      <c r="C9" s="41" t="n">
        <v>28</v>
      </c>
      <c r="D9" s="45" t="n">
        <v>3400</v>
      </c>
      <c r="E9" s="41" t="n">
        <v>34</v>
      </c>
      <c r="F9" s="56">
        <f>B9*1000000+C9*1500000</f>
        <v/>
      </c>
      <c r="G9" s="56">
        <f>(B9*108+C9*160)*1.39*D9</f>
        <v/>
      </c>
      <c r="H9" s="56">
        <f>F9*(1-0.12-0.03-0.04-0.05)-G9-F9*0.04-F9*0.88*0.04</f>
        <v/>
      </c>
      <c r="I9" s="57">
        <f>H9/F9</f>
        <v/>
      </c>
      <c r="J9" s="57" t="n">
        <v>0.25</v>
      </c>
      <c r="K9" s="56" t="n">
        <v>47200000</v>
      </c>
    </row>
    <row r="11" ht="15" customHeight="1" s="36">
      <c r="A11" s="55" t="inlineStr">
        <is>
          <t>¹ TIR e exposição: medidas no modelo mensal committado (não são fórmula desta aba). Resultado por fórmula difere &lt;2% do mensal (arredondamento de curvas).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F1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8" customWidth="1" style="35" min="1" max="1"/>
    <col width="13" customWidth="1" style="35" min="2" max="6"/>
  </cols>
  <sheetData>
    <row r="1" ht="16.15" customHeight="1" s="36">
      <c r="A1" s="37" t="inlineStr">
        <is>
          <t>MARGEM % — CUSTO DE OBRA × PREÇO DO CORE (Altezza 29, fórmulas vivas)</t>
        </is>
      </c>
    </row>
    <row r="3" ht="15" customHeight="1" s="36">
      <c r="A3" s="62" t="inlineStr">
        <is>
          <t>custo ↓ / preço →</t>
        </is>
      </c>
      <c r="B3" s="63" t="n">
        <v>900000</v>
      </c>
      <c r="C3" s="63" t="n">
        <v>950000</v>
      </c>
      <c r="D3" s="63" t="n">
        <v>1000000</v>
      </c>
      <c r="E3" s="63" t="n">
        <v>1050000</v>
      </c>
      <c r="F3" s="63" t="n">
        <v>1100000</v>
      </c>
    </row>
    <row r="4" ht="15" customHeight="1" s="36">
      <c r="A4" s="63" t="n">
        <v>2800</v>
      </c>
      <c r="B4" s="64">
        <f>((84*B$3+14*1500000)*(1-0.12-0.03-0.04-0.05)-(84*100+14*150)*1.39*$A4-(84*B$3+14*1500000)*0.04-(84*B$3+14*1500000)*0.88*0.04)/(84*B$3+14*1500000)</f>
        <v/>
      </c>
      <c r="C4" s="64">
        <f>((84*C$3+14*1500000)*(1-0.12-0.03-0.04-0.05)-(84*100+14*150)*1.39*$A4-(84*C$3+14*1500000)*0.04-(84*C$3+14*1500000)*0.88*0.04)/(84*C$3+14*1500000)</f>
        <v/>
      </c>
      <c r="D4" s="64">
        <f>((84*D$3+14*1500000)*(1-0.12-0.03-0.04-0.05)-(84*100+14*150)*1.39*$A4-(84*D$3+14*1500000)*0.04-(84*D$3+14*1500000)*0.88*0.04)/(84*D$3+14*1500000)</f>
        <v/>
      </c>
      <c r="E4" s="64">
        <f>((84*E$3+14*1500000)*(1-0.12-0.03-0.04-0.05)-(84*100+14*150)*1.39*$A4-(84*E$3+14*1500000)*0.04-(84*E$3+14*1500000)*0.88*0.04)/(84*E$3+14*1500000)</f>
        <v/>
      </c>
      <c r="F4" s="64">
        <f>((84*F$3+14*1500000)*(1-0.12-0.03-0.04-0.05)-(84*100+14*150)*1.39*$A4-(84*F$3+14*1500000)*0.04-(84*F$3+14*1500000)*0.88*0.04)/(84*F$3+14*1500000)</f>
        <v/>
      </c>
    </row>
    <row r="5" ht="15" customHeight="1" s="36">
      <c r="A5" s="63" t="n">
        <v>3000</v>
      </c>
      <c r="B5" s="64">
        <f>((84*B$3+14*1500000)*(1-0.12-0.03-0.04-0.05)-(84*100+14*150)*1.39*$A5-(84*B$3+14*1500000)*0.04-(84*B$3+14*1500000)*0.88*0.04)/(84*B$3+14*1500000)</f>
        <v/>
      </c>
      <c r="C5" s="64">
        <f>((84*C$3+14*1500000)*(1-0.12-0.03-0.04-0.05)-(84*100+14*150)*1.39*$A5-(84*C$3+14*1500000)*0.04-(84*C$3+14*1500000)*0.88*0.04)/(84*C$3+14*1500000)</f>
        <v/>
      </c>
      <c r="D5" s="64">
        <f>((84*D$3+14*1500000)*(1-0.12-0.03-0.04-0.05)-(84*100+14*150)*1.39*$A5-(84*D$3+14*1500000)*0.04-(84*D$3+14*1500000)*0.88*0.04)/(84*D$3+14*1500000)</f>
        <v/>
      </c>
      <c r="E5" s="64">
        <f>((84*E$3+14*1500000)*(1-0.12-0.03-0.04-0.05)-(84*100+14*150)*1.39*$A5-(84*E$3+14*1500000)*0.04-(84*E$3+14*1500000)*0.88*0.04)/(84*E$3+14*1500000)</f>
        <v/>
      </c>
      <c r="F5" s="64">
        <f>((84*F$3+14*1500000)*(1-0.12-0.03-0.04-0.05)-(84*100+14*150)*1.39*$A5-(84*F$3+14*1500000)*0.04-(84*F$3+14*1500000)*0.88*0.04)/(84*F$3+14*1500000)</f>
        <v/>
      </c>
    </row>
    <row r="6" ht="15" customHeight="1" s="36">
      <c r="A6" s="63" t="n">
        <v>3200</v>
      </c>
      <c r="B6" s="64">
        <f>((84*B$3+14*1500000)*(1-0.12-0.03-0.04-0.05)-(84*100+14*150)*1.39*$A6-(84*B$3+14*1500000)*0.04-(84*B$3+14*1500000)*0.88*0.04)/(84*B$3+14*1500000)</f>
        <v/>
      </c>
      <c r="C6" s="64">
        <f>((84*C$3+14*1500000)*(1-0.12-0.03-0.04-0.05)-(84*100+14*150)*1.39*$A6-(84*C$3+14*1500000)*0.04-(84*C$3+14*1500000)*0.88*0.04)/(84*C$3+14*1500000)</f>
        <v/>
      </c>
      <c r="D6" s="64">
        <f>((84*D$3+14*1500000)*(1-0.12-0.03-0.04-0.05)-(84*100+14*150)*1.39*$A6-(84*D$3+14*1500000)*0.04-(84*D$3+14*1500000)*0.88*0.04)/(84*D$3+14*1500000)</f>
        <v/>
      </c>
      <c r="E6" s="64">
        <f>((84*E$3+14*1500000)*(1-0.12-0.03-0.04-0.05)-(84*100+14*150)*1.39*$A6-(84*E$3+14*1500000)*0.04-(84*E$3+14*1500000)*0.88*0.04)/(84*E$3+14*1500000)</f>
        <v/>
      </c>
      <c r="F6" s="64">
        <f>((84*F$3+14*1500000)*(1-0.12-0.03-0.04-0.05)-(84*100+14*150)*1.39*$A6-(84*F$3+14*1500000)*0.04-(84*F$3+14*1500000)*0.88*0.04)/(84*F$3+14*1500000)</f>
        <v/>
      </c>
    </row>
    <row r="7" ht="15" customHeight="1" s="36">
      <c r="A7" s="63" t="n">
        <v>3400</v>
      </c>
      <c r="B7" s="64">
        <f>((84*B$3+14*1500000)*(1-0.12-0.03-0.04-0.05)-(84*100+14*150)*1.39*$A7-(84*B$3+14*1500000)*0.04-(84*B$3+14*1500000)*0.88*0.04)/(84*B$3+14*1500000)</f>
        <v/>
      </c>
      <c r="C7" s="64">
        <f>((84*C$3+14*1500000)*(1-0.12-0.03-0.04-0.05)-(84*100+14*150)*1.39*$A7-(84*C$3+14*1500000)*0.04-(84*C$3+14*1500000)*0.88*0.04)/(84*C$3+14*1500000)</f>
        <v/>
      </c>
      <c r="D7" s="64">
        <f>((84*D$3+14*1500000)*(1-0.12-0.03-0.04-0.05)-(84*100+14*150)*1.39*$A7-(84*D$3+14*1500000)*0.04-(84*D$3+14*1500000)*0.88*0.04)/(84*D$3+14*1500000)</f>
        <v/>
      </c>
      <c r="E7" s="64">
        <f>((84*E$3+14*1500000)*(1-0.12-0.03-0.04-0.05)-(84*100+14*150)*1.39*$A7-(84*E$3+14*1500000)*0.04-(84*E$3+14*1500000)*0.88*0.04)/(84*E$3+14*1500000)</f>
        <v/>
      </c>
      <c r="F7" s="64">
        <f>((84*F$3+14*1500000)*(1-0.12-0.03-0.04-0.05)-(84*100+14*150)*1.39*$A7-(84*F$3+14*1500000)*0.04-(84*F$3+14*1500000)*0.88*0.04)/(84*F$3+14*1500000)</f>
        <v/>
      </c>
    </row>
    <row r="8" ht="15" customHeight="1" s="36">
      <c r="A8" s="63" t="n">
        <v>3600</v>
      </c>
      <c r="B8" s="64">
        <f>((84*B$3+14*1500000)*(1-0.12-0.03-0.04-0.05)-(84*100+14*150)*1.39*$A8-(84*B$3+14*1500000)*0.04-(84*B$3+14*1500000)*0.88*0.04)/(84*B$3+14*1500000)</f>
        <v/>
      </c>
      <c r="C8" s="64">
        <f>((84*C$3+14*1500000)*(1-0.12-0.03-0.04-0.05)-(84*100+14*150)*1.39*$A8-(84*C$3+14*1500000)*0.04-(84*C$3+14*1500000)*0.88*0.04)/(84*C$3+14*1500000)</f>
        <v/>
      </c>
      <c r="D8" s="64">
        <f>((84*D$3+14*1500000)*(1-0.12-0.03-0.04-0.05)-(84*100+14*150)*1.39*$A8-(84*D$3+14*1500000)*0.04-(84*D$3+14*1500000)*0.88*0.04)/(84*D$3+14*1500000)</f>
        <v/>
      </c>
      <c r="E8" s="64">
        <f>((84*E$3+14*1500000)*(1-0.12-0.03-0.04-0.05)-(84*100+14*150)*1.39*$A8-(84*E$3+14*1500000)*0.04-(84*E$3+14*1500000)*0.88*0.04)/(84*E$3+14*1500000)</f>
        <v/>
      </c>
      <c r="F8" s="64">
        <f>((84*F$3+14*1500000)*(1-0.12-0.03-0.04-0.05)-(84*100+14*150)*1.39*$A8-(84*F$3+14*1500000)*0.04-(84*F$3+14*1500000)*0.88*0.04)/(84*F$3+14*1500000)</f>
        <v/>
      </c>
    </row>
    <row r="9" ht="15" customHeight="1" s="36">
      <c r="A9" s="63" t="n">
        <v>3800</v>
      </c>
      <c r="B9" s="64">
        <f>((84*B$3+14*1500000)*(1-0.12-0.03-0.04-0.05)-(84*100+14*150)*1.39*$A9-(84*B$3+14*1500000)*0.04-(84*B$3+14*1500000)*0.88*0.04)/(84*B$3+14*1500000)</f>
        <v/>
      </c>
      <c r="C9" s="64">
        <f>((84*C$3+14*1500000)*(1-0.12-0.03-0.04-0.05)-(84*100+14*150)*1.39*$A9-(84*C$3+14*1500000)*0.04-(84*C$3+14*1500000)*0.88*0.04)/(84*C$3+14*1500000)</f>
        <v/>
      </c>
      <c r="D9" s="64">
        <f>((84*D$3+14*1500000)*(1-0.12-0.03-0.04-0.05)-(84*100+14*150)*1.39*$A9-(84*D$3+14*1500000)*0.04-(84*D$3+14*1500000)*0.88*0.04)/(84*D$3+14*1500000)</f>
        <v/>
      </c>
      <c r="E9" s="64">
        <f>((84*E$3+14*1500000)*(1-0.12-0.03-0.04-0.05)-(84*100+14*150)*1.39*$A9-(84*E$3+14*1500000)*0.04-(84*E$3+14*1500000)*0.88*0.04)/(84*E$3+14*1500000)</f>
        <v/>
      </c>
      <c r="F9" s="64">
        <f>((84*F$3+14*1500000)*(1-0.12-0.03-0.04-0.05)-(84*100+14*150)*1.39*$A9-(84*F$3+14*1500000)*0.04-(84*F$3+14*1500000)*0.88*0.04)/(84*F$3+14*1500000)</f>
        <v/>
      </c>
    </row>
    <row r="10" ht="15" customHeight="1" s="36">
      <c r="A10" s="63" t="n">
        <v>4000</v>
      </c>
      <c r="B10" s="64">
        <f>((84*B$3+14*1500000)*(1-0.12-0.03-0.04-0.05)-(84*100+14*150)*1.39*$A10-(84*B$3+14*1500000)*0.04-(84*B$3+14*1500000)*0.88*0.04)/(84*B$3+14*1500000)</f>
        <v/>
      </c>
      <c r="C10" s="64">
        <f>((84*C$3+14*1500000)*(1-0.12-0.03-0.04-0.05)-(84*100+14*150)*1.39*$A10-(84*C$3+14*1500000)*0.04-(84*C$3+14*1500000)*0.88*0.04)/(84*C$3+14*1500000)</f>
        <v/>
      </c>
      <c r="D10" s="64">
        <f>((84*D$3+14*1500000)*(1-0.12-0.03-0.04-0.05)-(84*100+14*150)*1.39*$A10-(84*D$3+14*1500000)*0.04-(84*D$3+14*1500000)*0.88*0.04)/(84*D$3+14*1500000)</f>
        <v/>
      </c>
      <c r="E10" s="64">
        <f>((84*E$3+14*1500000)*(1-0.12-0.03-0.04-0.05)-(84*100+14*150)*1.39*$A10-(84*E$3+14*1500000)*0.04-(84*E$3+14*1500000)*0.88*0.04)/(84*E$3+14*1500000)</f>
        <v/>
      </c>
      <c r="F10" s="64">
        <f>((84*F$3+14*1500000)*(1-0.12-0.03-0.04-0.05)-(84*100+14*150)*1.39*$A10-(84*F$3+14*1500000)*0.04-(84*F$3+14*1500000)*0.88*0.04)/(84*F$3+14*1500000)</f>
        <v/>
      </c>
    </row>
    <row r="12" ht="15" customHeight="1" s="36">
      <c r="A12" s="55" t="inlineStr">
        <is>
          <t>Piso de disciplina: 20% (benchmark CVM: Lavvi 26,4% · Cyrela 25,4%). Sky fixa em R$ 1,5 M.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D1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70" customWidth="1" style="35" min="1" max="1"/>
    <col width="16" customWidth="1" style="35" min="2" max="4"/>
  </cols>
  <sheetData>
    <row r="1" ht="16.15" customHeight="1" s="36">
      <c r="A1" s="37" t="inlineStr">
        <is>
          <t>QUADRO DE ÁREAS — PROGRAMA COMPLETO DO CADERNO</t>
        </is>
      </c>
    </row>
    <row r="3" ht="15" customHeight="1" s="36">
      <c r="A3" s="51" t="inlineStr">
        <is>
          <t>Natureza</t>
        </is>
      </c>
      <c r="B3" s="51" t="inlineStr">
        <is>
          <t>m²</t>
        </is>
      </c>
      <c r="C3" s="51" t="inlineStr">
        <is>
          <t>Peso NBR 12721</t>
        </is>
      </c>
      <c r="D3" s="51" t="inlineStr">
        <is>
          <t>Equivalente (m²)</t>
        </is>
      </c>
    </row>
    <row r="4" ht="15" customHeight="1" s="36">
      <c r="A4" s="35" t="inlineStr">
        <is>
          <t>Privativa (84×108 + 14×160)</t>
        </is>
      </c>
      <c r="B4" s="65">
        <f>84*108+14*160</f>
        <v/>
      </c>
      <c r="C4" s="66" t="n">
        <v>1</v>
      </c>
      <c r="D4" s="67">
        <f>B4*C4</f>
        <v/>
      </c>
    </row>
    <row r="5" ht="15" customHeight="1" s="36">
      <c r="A5" s="35" t="inlineStr">
        <is>
          <t>Comum coberta (térreo 700 + circulações 2.380 + rooftop cob. 150 + máquinas 100)</t>
        </is>
      </c>
      <c r="B5" s="66" t="n">
        <v>3330</v>
      </c>
      <c r="C5" s="66" t="n">
        <v>0.75</v>
      </c>
      <c r="D5" s="67">
        <f>B5*C5</f>
        <v/>
      </c>
    </row>
    <row r="6" ht="15" customHeight="1" s="36">
      <c r="A6" s="35" t="inlineStr">
        <is>
          <t>Rooftop descoberto (piscina/deck)</t>
        </is>
      </c>
      <c r="B6" s="66" t="n">
        <v>175</v>
      </c>
      <c r="C6" s="66" t="n">
        <v>0.3</v>
      </c>
      <c r="D6" s="67">
        <f>B6*C6</f>
        <v/>
      </c>
    </row>
    <row r="7" ht="15" customHeight="1" s="36">
      <c r="A7" s="35" t="inlineStr">
        <is>
          <t>Garagem (2 subsolos)</t>
        </is>
      </c>
      <c r="B7" s="66" t="n">
        <v>4300</v>
      </c>
      <c r="C7" s="66" t="n">
        <v>0.55</v>
      </c>
      <c r="D7" s="67">
        <f>B7*C7</f>
        <v/>
      </c>
    </row>
    <row r="8" ht="15" customHeight="1" s="36">
      <c r="A8" s="52" t="inlineStr">
        <is>
          <t>TOTAL</t>
        </is>
      </c>
      <c r="B8" s="68">
        <f>SUM(B4:B7)</f>
        <v/>
      </c>
      <c r="D8" s="68">
        <f>SUM(D4:D7)</f>
        <v/>
      </c>
    </row>
    <row r="10" ht="15" customHeight="1" s="36">
      <c r="A10" s="35" t="inlineStr">
        <is>
          <t>Obra do programa completo = equivalente × custo/m² (Premissas!B11):</t>
        </is>
      </c>
      <c r="B10" s="69">
        <f>D8*Premissas!$B$11</f>
        <v/>
      </c>
    </row>
    <row r="11" ht="15" customHeight="1" s="36">
      <c r="A11" s="55" t="inlineStr">
        <is>
          <t>Delta vs modelo-base (fator 1,39 → 14.595 m²): programa completo custa mais e leva a margem-base de 24,0% para ~21,5% — válvulas FLEX e preço no caderno (§6).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C1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2" customWidth="1" style="35" min="1" max="1"/>
    <col width="52" customWidth="1" style="35" min="3" max="3"/>
  </cols>
  <sheetData>
    <row r="1" ht="16.15" customHeight="1" s="36">
      <c r="A1" s="37" t="inlineStr">
        <is>
          <t>GARAGENS — 154 VAGAS EM 2 SUBSOLOS</t>
        </is>
      </c>
    </row>
    <row r="3" ht="15" customHeight="1" s="36">
      <c r="A3" s="51" t="inlineStr">
        <is>
          <t>Item</t>
        </is>
      </c>
      <c r="B3" s="51" t="inlineStr">
        <is>
          <t>Quant.</t>
        </is>
      </c>
      <c r="C3" s="51" t="inlineStr">
        <is>
          <t>Nota</t>
        </is>
      </c>
    </row>
    <row r="4" ht="15" customHeight="1" s="36">
      <c r="A4" s="35" t="inlineStr">
        <is>
          <t>Vagas core (1/un garantida)</t>
        </is>
      </c>
      <c r="B4" s="41" t="n">
        <v>84</v>
      </c>
      <c r="C4" s="35" t="inlineStr">
        <is>
          <t>2,5 × 5,0 m</t>
        </is>
      </c>
    </row>
    <row r="5" ht="15" customHeight="1" s="36">
      <c r="A5" s="35" t="inlineStr">
        <is>
          <t>Vagas Sky (2/un)</t>
        </is>
      </c>
      <c r="B5" s="41" t="n">
        <v>28</v>
      </c>
      <c r="C5" s="35" t="inlineStr">
        <is>
          <t>par contíguo ao núcleo</t>
        </is>
      </c>
    </row>
    <row r="6" ht="15" customHeight="1" s="36">
      <c r="A6" s="35" t="inlineStr">
        <is>
          <t>Avulsas vendáveis</t>
        </is>
      </c>
      <c r="B6" s="41" t="n">
        <v>28</v>
      </c>
      <c r="C6" s="35" t="inlineStr">
        <is>
          <t>upside ≈ R$ 1,1 M fora do VGV (28 × ~R$ 40 mil)</t>
        </is>
      </c>
    </row>
    <row r="7" ht="15" customHeight="1" s="36">
      <c r="A7" s="35" t="inlineStr">
        <is>
          <t>Visitas</t>
        </is>
      </c>
      <c r="B7" s="41" t="n">
        <v>8</v>
      </c>
      <c r="C7" s="35" t="inlineStr">
        <is>
          <t>rotativas</t>
        </is>
      </c>
    </row>
    <row r="8" ht="15" customHeight="1" s="36">
      <c r="A8" s="35" t="inlineStr">
        <is>
          <t>PCD + idoso</t>
        </is>
      </c>
      <c r="B8" s="41" t="n">
        <v>6</v>
      </c>
      <c r="C8" s="35" t="inlineStr">
        <is>
          <t>3,7 × 5,0 m</t>
        </is>
      </c>
    </row>
    <row r="9" ht="15" customHeight="1" s="36">
      <c r="A9" s="52" t="inlineStr">
        <is>
          <t>TOTAL</t>
        </is>
      </c>
      <c r="B9" s="52">
        <f>SUM(B4:B8)</f>
        <v/>
      </c>
    </row>
    <row r="11" ht="15" customHeight="1" s="36">
      <c r="A11" s="35" t="inlineStr">
        <is>
          <t>Receita de vagas avulsas (fora do VGV):</t>
        </is>
      </c>
      <c r="B11" s="46">
        <f>B6*40000</f>
        <v/>
      </c>
    </row>
    <row r="12" ht="15" customHeight="1" s="36">
      <c r="A12" s="43" t="inlineStr">
        <is>
          <t>Complementos: 12 motos · 100 bikes + oficina · 98 depósitos · 32 vagas EV-ready (infra passante 100%)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2026-09-01T14:06:33Z</dcterms:created>
  <dcterms:modified xmlns:dcterms="http://purl.org/dc/terms/" xmlns:xsi="http://www.w3.org/2001/XMLSchema-instance" xsi:type="dcterms:W3CDTF">2026-09-02T19:53:13Z</dcterms:modified>
  <cp:revision>0</cp:revision>
</cp:coreProperties>
</file>